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p-my.sharepoint.com/personal/matthias_rosenkranz_sap_com/Documents/"/>
    </mc:Choice>
  </mc:AlternateContent>
  <xr:revisionPtr revIDLastSave="6" documentId="8_{DB020949-2E15-45E0-9693-2293D121058F}" xr6:coauthVersionLast="47" xr6:coauthVersionMax="47" xr10:uidLastSave="{2BCA4101-34B4-42D8-A10D-A559D0CD47D7}"/>
  <bookViews>
    <workbookView xWindow="-120" yWindow="-120" windowWidth="27450" windowHeight="14100" xr2:uid="{00000000-000D-0000-FFFF-FFFF00000000}"/>
  </bookViews>
  <sheets>
    <sheet name="Frauen" sheetId="1" r:id="rId1"/>
    <sheet name="Männer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52" i="2" l="1"/>
  <c r="AR52" i="2"/>
  <c r="AQ52" i="2"/>
  <c r="AS52" i="2" s="1"/>
  <c r="AP52" i="2"/>
  <c r="AK52" i="2"/>
  <c r="AG52" i="2"/>
  <c r="AE52" i="2"/>
  <c r="AD52" i="2"/>
  <c r="AF52" i="2" s="1"/>
  <c r="AC52" i="2"/>
  <c r="AA52" i="2"/>
  <c r="Y52" i="2"/>
  <c r="X52" i="2"/>
  <c r="Z52" i="2" s="1"/>
  <c r="AH52" i="2" s="1"/>
  <c r="W52" i="2"/>
  <c r="T52" i="2"/>
  <c r="R52" i="2"/>
  <c r="Q52" i="2"/>
  <c r="S52" i="2" s="1"/>
  <c r="P52" i="2"/>
  <c r="N52" i="2"/>
  <c r="L52" i="2"/>
  <c r="K52" i="2"/>
  <c r="M52" i="2" s="1"/>
  <c r="J52" i="2"/>
  <c r="E52" i="2"/>
  <c r="AL52" i="2" s="1"/>
  <c r="AT51" i="2"/>
  <c r="AR51" i="2"/>
  <c r="AQ51" i="2"/>
  <c r="AS51" i="2" s="1"/>
  <c r="AP51" i="2"/>
  <c r="AK51" i="2"/>
  <c r="AG51" i="2"/>
  <c r="AE51" i="2"/>
  <c r="AD51" i="2"/>
  <c r="AF51" i="2" s="1"/>
  <c r="AC51" i="2"/>
  <c r="AA51" i="2"/>
  <c r="Y51" i="2"/>
  <c r="X51" i="2"/>
  <c r="Z51" i="2" s="1"/>
  <c r="AH51" i="2" s="1"/>
  <c r="W51" i="2"/>
  <c r="T51" i="2"/>
  <c r="R51" i="2"/>
  <c r="Q51" i="2"/>
  <c r="S51" i="2" s="1"/>
  <c r="P51" i="2"/>
  <c r="N51" i="2"/>
  <c r="L51" i="2"/>
  <c r="K51" i="2"/>
  <c r="M51" i="2" s="1"/>
  <c r="J51" i="2"/>
  <c r="E51" i="2"/>
  <c r="AL51" i="2" s="1"/>
  <c r="AT45" i="2"/>
  <c r="AR45" i="2"/>
  <c r="AQ45" i="2"/>
  <c r="AS45" i="2" s="1"/>
  <c r="AP45" i="2"/>
  <c r="AK45" i="2"/>
  <c r="AG45" i="2"/>
  <c r="AE45" i="2"/>
  <c r="AD45" i="2"/>
  <c r="AF45" i="2" s="1"/>
  <c r="AC45" i="2"/>
  <c r="AA45" i="2"/>
  <c r="Y45" i="2"/>
  <c r="X45" i="2"/>
  <c r="Z45" i="2" s="1"/>
  <c r="AH45" i="2" s="1"/>
  <c r="W45" i="2"/>
  <c r="T45" i="2"/>
  <c r="R45" i="2"/>
  <c r="Q45" i="2"/>
  <c r="S45" i="2" s="1"/>
  <c r="P45" i="2"/>
  <c r="N45" i="2"/>
  <c r="L45" i="2"/>
  <c r="K45" i="2"/>
  <c r="M45" i="2" s="1"/>
  <c r="J45" i="2"/>
  <c r="E45" i="2"/>
  <c r="AL45" i="2" s="1"/>
  <c r="AT47" i="2"/>
  <c r="AR47" i="2"/>
  <c r="AQ47" i="2"/>
  <c r="AS47" i="2" s="1"/>
  <c r="AP47" i="2"/>
  <c r="AK47" i="2"/>
  <c r="AG47" i="2"/>
  <c r="AE47" i="2"/>
  <c r="AD47" i="2"/>
  <c r="AF47" i="2" s="1"/>
  <c r="AC47" i="2"/>
  <c r="AA47" i="2"/>
  <c r="Y47" i="2"/>
  <c r="X47" i="2"/>
  <c r="Z47" i="2" s="1"/>
  <c r="AH47" i="2" s="1"/>
  <c r="W47" i="2"/>
  <c r="T47" i="2"/>
  <c r="R47" i="2"/>
  <c r="Q47" i="2"/>
  <c r="S47" i="2" s="1"/>
  <c r="P47" i="2"/>
  <c r="L47" i="2"/>
  <c r="K47" i="2"/>
  <c r="M47" i="2" s="1"/>
  <c r="E47" i="2"/>
  <c r="AL47" i="2" s="1"/>
  <c r="AQ20" i="2"/>
  <c r="AN20" i="2"/>
  <c r="AL20" i="2"/>
  <c r="AK20" i="2"/>
  <c r="AM20" i="2" s="1"/>
  <c r="AJ20" i="2"/>
  <c r="AG20" i="2"/>
  <c r="AE20" i="2"/>
  <c r="AD20" i="2"/>
  <c r="AF20" i="2" s="1"/>
  <c r="AC20" i="2"/>
  <c r="X20" i="2"/>
  <c r="T20" i="2"/>
  <c r="R20" i="2"/>
  <c r="Q20" i="2"/>
  <c r="S20" i="2" s="1"/>
  <c r="P20" i="2"/>
  <c r="N20" i="2"/>
  <c r="L20" i="2"/>
  <c r="K20" i="2"/>
  <c r="M20" i="2" s="1"/>
  <c r="J20" i="2"/>
  <c r="E20" i="2"/>
  <c r="AQ38" i="2"/>
  <c r="AN38" i="2"/>
  <c r="AL38" i="2"/>
  <c r="AK38" i="2"/>
  <c r="AM38" i="2" s="1"/>
  <c r="AJ38" i="2"/>
  <c r="AG38" i="2"/>
  <c r="AE38" i="2"/>
  <c r="AD38" i="2"/>
  <c r="AF38" i="2" s="1"/>
  <c r="AC38" i="2"/>
  <c r="AA38" i="2"/>
  <c r="Y38" i="2"/>
  <c r="X38" i="2"/>
  <c r="Z38" i="2" s="1"/>
  <c r="AH38" i="2" s="1"/>
  <c r="W38" i="2"/>
  <c r="T38" i="2"/>
  <c r="R38" i="2"/>
  <c r="Q38" i="2"/>
  <c r="S38" i="2" s="1"/>
  <c r="P38" i="2"/>
  <c r="N38" i="2"/>
  <c r="L38" i="2"/>
  <c r="K38" i="2"/>
  <c r="M38" i="2" s="1"/>
  <c r="J38" i="2"/>
  <c r="E38" i="2"/>
  <c r="AR38" i="2" s="1"/>
  <c r="AQ34" i="2"/>
  <c r="AN34" i="2"/>
  <c r="AL34" i="2"/>
  <c r="AK34" i="2"/>
  <c r="AM34" i="2" s="1"/>
  <c r="AJ34" i="2"/>
  <c r="AG34" i="2"/>
  <c r="AE34" i="2"/>
  <c r="AD34" i="2"/>
  <c r="AF34" i="2" s="1"/>
  <c r="AC34" i="2"/>
  <c r="AA34" i="2"/>
  <c r="Y34" i="2"/>
  <c r="X34" i="2"/>
  <c r="Z34" i="2" s="1"/>
  <c r="AH34" i="2" s="1"/>
  <c r="W34" i="2"/>
  <c r="T34" i="2"/>
  <c r="R34" i="2"/>
  <c r="Q34" i="2"/>
  <c r="S34" i="2" s="1"/>
  <c r="P34" i="2"/>
  <c r="N34" i="2"/>
  <c r="L34" i="2"/>
  <c r="K34" i="2"/>
  <c r="M34" i="2" s="1"/>
  <c r="J34" i="2"/>
  <c r="E34" i="2"/>
  <c r="AR34" i="2" s="1"/>
  <c r="AQ41" i="2"/>
  <c r="AN41" i="2"/>
  <c r="AL41" i="2"/>
  <c r="AK41" i="2"/>
  <c r="AM41" i="2" s="1"/>
  <c r="AJ41" i="2"/>
  <c r="AG41" i="2"/>
  <c r="AE41" i="2"/>
  <c r="AD41" i="2"/>
  <c r="AF41" i="2" s="1"/>
  <c r="AC41" i="2"/>
  <c r="AA41" i="2"/>
  <c r="Y41" i="2"/>
  <c r="X41" i="2"/>
  <c r="Z41" i="2" s="1"/>
  <c r="AH41" i="2" s="1"/>
  <c r="W41" i="2"/>
  <c r="T41" i="2"/>
  <c r="R41" i="2"/>
  <c r="Q41" i="2"/>
  <c r="S41" i="2" s="1"/>
  <c r="P41" i="2"/>
  <c r="N41" i="2"/>
  <c r="L41" i="2"/>
  <c r="K41" i="2"/>
  <c r="M41" i="2" s="1"/>
  <c r="J41" i="2"/>
  <c r="E41" i="2"/>
  <c r="AR41" i="2" s="1"/>
  <c r="AQ37" i="2"/>
  <c r="AK37" i="2"/>
  <c r="AG37" i="2"/>
  <c r="AE37" i="2"/>
  <c r="AD37" i="2"/>
  <c r="AF37" i="2" s="1"/>
  <c r="AC37" i="2"/>
  <c r="AA37" i="2"/>
  <c r="Y37" i="2"/>
  <c r="X37" i="2"/>
  <c r="Z37" i="2" s="1"/>
  <c r="AH37" i="2" s="1"/>
  <c r="W37" i="2"/>
  <c r="T37" i="2"/>
  <c r="R37" i="2"/>
  <c r="Q37" i="2"/>
  <c r="S37" i="2" s="1"/>
  <c r="P37" i="2"/>
  <c r="N37" i="2"/>
  <c r="L37" i="2"/>
  <c r="K37" i="2"/>
  <c r="M37" i="2" s="1"/>
  <c r="J37" i="2"/>
  <c r="E37" i="2"/>
  <c r="AQ33" i="2"/>
  <c r="AN33" i="2"/>
  <c r="AL33" i="2"/>
  <c r="AK33" i="2"/>
  <c r="AM33" i="2" s="1"/>
  <c r="AJ33" i="2"/>
  <c r="AG33" i="2"/>
  <c r="AE33" i="2"/>
  <c r="AD33" i="2"/>
  <c r="AF33" i="2" s="1"/>
  <c r="AC33" i="2"/>
  <c r="AA33" i="2"/>
  <c r="Y33" i="2"/>
  <c r="X33" i="2"/>
  <c r="Z33" i="2" s="1"/>
  <c r="AH33" i="2" s="1"/>
  <c r="W33" i="2"/>
  <c r="T33" i="2"/>
  <c r="R33" i="2"/>
  <c r="Q33" i="2"/>
  <c r="S33" i="2" s="1"/>
  <c r="P33" i="2"/>
  <c r="N33" i="2"/>
  <c r="L33" i="2"/>
  <c r="K33" i="2"/>
  <c r="M33" i="2" s="1"/>
  <c r="J33" i="2"/>
  <c r="E33" i="2"/>
  <c r="AR33" i="2" s="1"/>
  <c r="AQ30" i="2"/>
  <c r="AN30" i="2"/>
  <c r="AL30" i="2"/>
  <c r="AK30" i="2"/>
  <c r="AM30" i="2" s="1"/>
  <c r="AJ30" i="2"/>
  <c r="AG30" i="2"/>
  <c r="AE30" i="2"/>
  <c r="AD30" i="2"/>
  <c r="AF30" i="2" s="1"/>
  <c r="AC30" i="2"/>
  <c r="AA30" i="2"/>
  <c r="Y30" i="2"/>
  <c r="X30" i="2"/>
  <c r="Z30" i="2" s="1"/>
  <c r="AH30" i="2" s="1"/>
  <c r="W30" i="2"/>
  <c r="T30" i="2"/>
  <c r="R30" i="2"/>
  <c r="Q30" i="2"/>
  <c r="S30" i="2" s="1"/>
  <c r="P30" i="2"/>
  <c r="N30" i="2"/>
  <c r="L30" i="2"/>
  <c r="K30" i="2"/>
  <c r="M30" i="2" s="1"/>
  <c r="J30" i="2"/>
  <c r="E30" i="2"/>
  <c r="AR30" i="2" s="1"/>
  <c r="AQ9" i="1"/>
  <c r="AN9" i="1"/>
  <c r="AL9" i="1"/>
  <c r="AK9" i="1"/>
  <c r="AM9" i="1" s="1"/>
  <c r="AJ9" i="1"/>
  <c r="AG9" i="1"/>
  <c r="AE9" i="1"/>
  <c r="AD9" i="1"/>
  <c r="AF9" i="1" s="1"/>
  <c r="AC9" i="1"/>
  <c r="AA9" i="1"/>
  <c r="Y9" i="1"/>
  <c r="X9" i="1"/>
  <c r="Z9" i="1" s="1"/>
  <c r="AH9" i="1" s="1"/>
  <c r="W9" i="1"/>
  <c r="T9" i="1"/>
  <c r="R9" i="1"/>
  <c r="Q9" i="1"/>
  <c r="S9" i="1" s="1"/>
  <c r="P9" i="1"/>
  <c r="N9" i="1"/>
  <c r="L9" i="1"/>
  <c r="K9" i="1"/>
  <c r="M9" i="1" s="1"/>
  <c r="J9" i="1"/>
  <c r="E9" i="1"/>
  <c r="AR9" i="1" s="1"/>
  <c r="AQ7" i="1"/>
  <c r="AN7" i="1"/>
  <c r="AL7" i="1"/>
  <c r="AK7" i="1"/>
  <c r="AM7" i="1" s="1"/>
  <c r="AJ7" i="1"/>
  <c r="AG7" i="1"/>
  <c r="AE7" i="1"/>
  <c r="AD7" i="1"/>
  <c r="AF7" i="1" s="1"/>
  <c r="AC7" i="1"/>
  <c r="AA7" i="1"/>
  <c r="Y7" i="1"/>
  <c r="X7" i="1"/>
  <c r="Z7" i="1" s="1"/>
  <c r="AH7" i="1" s="1"/>
  <c r="W7" i="1"/>
  <c r="T7" i="1"/>
  <c r="R7" i="1"/>
  <c r="Q7" i="1"/>
  <c r="S7" i="1" s="1"/>
  <c r="P7" i="1"/>
  <c r="N7" i="1"/>
  <c r="L7" i="1"/>
  <c r="K7" i="1"/>
  <c r="M7" i="1" s="1"/>
  <c r="J7" i="1"/>
  <c r="E7" i="1"/>
  <c r="AR7" i="1" s="1"/>
  <c r="AQ16" i="2"/>
  <c r="AN16" i="2"/>
  <c r="AL16" i="2"/>
  <c r="AK16" i="2"/>
  <c r="AM16" i="2" s="1"/>
  <c r="AJ16" i="2"/>
  <c r="AD16" i="2"/>
  <c r="AA16" i="2"/>
  <c r="Y16" i="2"/>
  <c r="X16" i="2"/>
  <c r="Z16" i="2" s="1"/>
  <c r="W16" i="2"/>
  <c r="T16" i="2"/>
  <c r="R16" i="2"/>
  <c r="Q16" i="2"/>
  <c r="S16" i="2" s="1"/>
  <c r="P16" i="2"/>
  <c r="N16" i="2"/>
  <c r="L16" i="2"/>
  <c r="K16" i="2"/>
  <c r="M16" i="2" s="1"/>
  <c r="J16" i="2"/>
  <c r="E16" i="2"/>
  <c r="AT46" i="2"/>
  <c r="AR46" i="2"/>
  <c r="AQ46" i="2"/>
  <c r="AS46" i="2" s="1"/>
  <c r="AP46" i="2"/>
  <c r="AN46" i="2"/>
  <c r="AL46" i="2"/>
  <c r="AK46" i="2"/>
  <c r="AM46" i="2" s="1"/>
  <c r="AJ46" i="2"/>
  <c r="AD46" i="2"/>
  <c r="AA46" i="2"/>
  <c r="Y46" i="2"/>
  <c r="X46" i="2"/>
  <c r="Z46" i="2" s="1"/>
  <c r="W46" i="2"/>
  <c r="T46" i="2"/>
  <c r="R46" i="2"/>
  <c r="Q46" i="2"/>
  <c r="S46" i="2" s="1"/>
  <c r="P46" i="2"/>
  <c r="N46" i="2"/>
  <c r="L46" i="2"/>
  <c r="K46" i="2"/>
  <c r="M46" i="2" s="1"/>
  <c r="J46" i="2"/>
  <c r="E46" i="2"/>
  <c r="AE46" i="2" s="1"/>
  <c r="AT15" i="2"/>
  <c r="AR15" i="2"/>
  <c r="AQ15" i="2"/>
  <c r="AS15" i="2" s="1"/>
  <c r="AP15" i="2"/>
  <c r="AK15" i="2"/>
  <c r="AD15" i="2"/>
  <c r="AA15" i="2"/>
  <c r="Y15" i="2"/>
  <c r="X15" i="2"/>
  <c r="Z15" i="2" s="1"/>
  <c r="W15" i="2"/>
  <c r="T15" i="2"/>
  <c r="R15" i="2"/>
  <c r="Q15" i="2"/>
  <c r="S15" i="2" s="1"/>
  <c r="P15" i="2"/>
  <c r="N15" i="2"/>
  <c r="L15" i="2"/>
  <c r="K15" i="2"/>
  <c r="M15" i="2" s="1"/>
  <c r="J15" i="2"/>
  <c r="E15" i="2"/>
  <c r="AQ4" i="1"/>
  <c r="AN4" i="1"/>
  <c r="AL4" i="1"/>
  <c r="AK4" i="1"/>
  <c r="AM4" i="1" s="1"/>
  <c r="AJ4" i="1"/>
  <c r="AD4" i="1"/>
  <c r="AA4" i="1"/>
  <c r="Y4" i="1"/>
  <c r="X4" i="1"/>
  <c r="Z4" i="1" s="1"/>
  <c r="W4" i="1"/>
  <c r="T4" i="1"/>
  <c r="R4" i="1"/>
  <c r="Q4" i="1"/>
  <c r="S4" i="1" s="1"/>
  <c r="P4" i="1"/>
  <c r="N4" i="1"/>
  <c r="L4" i="1"/>
  <c r="K4" i="1"/>
  <c r="M4" i="1" s="1"/>
  <c r="J4" i="1"/>
  <c r="E4" i="1"/>
  <c r="AT8" i="1"/>
  <c r="AR8" i="1"/>
  <c r="AQ8" i="1"/>
  <c r="AS8" i="1" s="1"/>
  <c r="AP8" i="1"/>
  <c r="AN8" i="1"/>
  <c r="AL8" i="1"/>
  <c r="AK8" i="1"/>
  <c r="AM8" i="1" s="1"/>
  <c r="AJ8" i="1"/>
  <c r="AD8" i="1"/>
  <c r="AA8" i="1"/>
  <c r="Y8" i="1"/>
  <c r="X8" i="1"/>
  <c r="Z8" i="1" s="1"/>
  <c r="W8" i="1"/>
  <c r="T8" i="1"/>
  <c r="R8" i="1"/>
  <c r="Q8" i="1"/>
  <c r="S8" i="1" s="1"/>
  <c r="P8" i="1"/>
  <c r="N8" i="1"/>
  <c r="L8" i="1"/>
  <c r="K8" i="1"/>
  <c r="M8" i="1" s="1"/>
  <c r="J8" i="1"/>
  <c r="E8" i="1"/>
  <c r="AE8" i="1" s="1"/>
  <c r="AT10" i="1"/>
  <c r="AR10" i="1"/>
  <c r="AQ10" i="1"/>
  <c r="AS10" i="1" s="1"/>
  <c r="AP10" i="1"/>
  <c r="AN10" i="1"/>
  <c r="AL10" i="1"/>
  <c r="AK10" i="1"/>
  <c r="AM10" i="1" s="1"/>
  <c r="AJ10" i="1"/>
  <c r="AG10" i="1"/>
  <c r="AE10" i="1"/>
  <c r="AD10" i="1"/>
  <c r="AF10" i="1" s="1"/>
  <c r="AC10" i="1"/>
  <c r="X10" i="1"/>
  <c r="T10" i="1"/>
  <c r="R10" i="1"/>
  <c r="Q10" i="1"/>
  <c r="S10" i="1" s="1"/>
  <c r="P10" i="1"/>
  <c r="N10" i="1"/>
  <c r="L10" i="1"/>
  <c r="K10" i="1"/>
  <c r="M10" i="1" s="1"/>
  <c r="J10" i="1"/>
  <c r="E10" i="1"/>
  <c r="Y10" i="1" s="1"/>
  <c r="AT6" i="1"/>
  <c r="AR6" i="1"/>
  <c r="AQ6" i="1"/>
  <c r="AS6" i="1" s="1"/>
  <c r="AP6" i="1"/>
  <c r="AN6" i="1"/>
  <c r="AL6" i="1"/>
  <c r="AK6" i="1"/>
  <c r="AM6" i="1" s="1"/>
  <c r="AJ6" i="1"/>
  <c r="AG6" i="1"/>
  <c r="AE6" i="1"/>
  <c r="AD6" i="1"/>
  <c r="AF6" i="1" s="1"/>
  <c r="AC6" i="1"/>
  <c r="X6" i="1"/>
  <c r="T6" i="1"/>
  <c r="R6" i="1"/>
  <c r="Q6" i="1"/>
  <c r="S6" i="1" s="1"/>
  <c r="P6" i="1"/>
  <c r="N6" i="1"/>
  <c r="L6" i="1"/>
  <c r="K6" i="1"/>
  <c r="M6" i="1" s="1"/>
  <c r="J6" i="1"/>
  <c r="E6" i="1"/>
  <c r="Y6" i="1" s="1"/>
  <c r="AQ11" i="2"/>
  <c r="AN11" i="2"/>
  <c r="AL11" i="2"/>
  <c r="AK11" i="2"/>
  <c r="AM11" i="2" s="1"/>
  <c r="AJ11" i="2"/>
  <c r="AG11" i="2"/>
  <c r="AE11" i="2"/>
  <c r="AD11" i="2"/>
  <c r="AF11" i="2" s="1"/>
  <c r="AC11" i="2"/>
  <c r="X11" i="2"/>
  <c r="T11" i="2"/>
  <c r="R11" i="2"/>
  <c r="Q11" i="2"/>
  <c r="S11" i="2" s="1"/>
  <c r="P11" i="2"/>
  <c r="N11" i="2"/>
  <c r="L11" i="2"/>
  <c r="K11" i="2"/>
  <c r="M11" i="2" s="1"/>
  <c r="J11" i="2"/>
  <c r="E11" i="2"/>
  <c r="AT13" i="2"/>
  <c r="AR13" i="2"/>
  <c r="AQ13" i="2"/>
  <c r="AS13" i="2" s="1"/>
  <c r="AP13" i="2"/>
  <c r="AK13" i="2"/>
  <c r="AG13" i="2"/>
  <c r="AE13" i="2"/>
  <c r="AD13" i="2"/>
  <c r="AF13" i="2" s="1"/>
  <c r="AC13" i="2"/>
  <c r="X13" i="2"/>
  <c r="T13" i="2"/>
  <c r="R13" i="2"/>
  <c r="Q13" i="2"/>
  <c r="S13" i="2" s="1"/>
  <c r="P13" i="2"/>
  <c r="N13" i="2"/>
  <c r="L13" i="2"/>
  <c r="K13" i="2"/>
  <c r="M13" i="2" s="1"/>
  <c r="J13" i="2"/>
  <c r="E13" i="2"/>
  <c r="AQ8" i="2"/>
  <c r="AN8" i="2"/>
  <c r="AL8" i="2"/>
  <c r="AK8" i="2"/>
  <c r="AM8" i="2" s="1"/>
  <c r="AJ8" i="2"/>
  <c r="AD8" i="2"/>
  <c r="X8" i="2"/>
  <c r="T8" i="2"/>
  <c r="R8" i="2"/>
  <c r="Q8" i="2"/>
  <c r="S8" i="2" s="1"/>
  <c r="P8" i="2"/>
  <c r="N8" i="2"/>
  <c r="L8" i="2"/>
  <c r="K8" i="2"/>
  <c r="M8" i="2" s="1"/>
  <c r="J8" i="2"/>
  <c r="E8" i="2"/>
  <c r="AR8" i="2" s="1"/>
  <c r="AQ10" i="2"/>
  <c r="AK10" i="2"/>
  <c r="AG10" i="2"/>
  <c r="AE10" i="2"/>
  <c r="AD10" i="2"/>
  <c r="AF10" i="2" s="1"/>
  <c r="AC10" i="2"/>
  <c r="X10" i="2"/>
  <c r="T10" i="2"/>
  <c r="R10" i="2"/>
  <c r="Q10" i="2"/>
  <c r="S10" i="2" s="1"/>
  <c r="P10" i="2"/>
  <c r="N10" i="2"/>
  <c r="L10" i="2"/>
  <c r="K10" i="2"/>
  <c r="M10" i="2" s="1"/>
  <c r="J10" i="2"/>
  <c r="E10" i="2"/>
  <c r="AL10" i="2" s="1"/>
  <c r="AT29" i="2"/>
  <c r="AR29" i="2"/>
  <c r="AQ29" i="2"/>
  <c r="AS29" i="2" s="1"/>
  <c r="AP29" i="2"/>
  <c r="AN29" i="2"/>
  <c r="AL29" i="2"/>
  <c r="AK29" i="2"/>
  <c r="AM29" i="2" s="1"/>
  <c r="AJ29" i="2"/>
  <c r="AG29" i="2"/>
  <c r="AE29" i="2"/>
  <c r="AD29" i="2"/>
  <c r="AF29" i="2" s="1"/>
  <c r="AC29" i="2"/>
  <c r="X29" i="2"/>
  <c r="T29" i="2"/>
  <c r="R29" i="2"/>
  <c r="Q29" i="2"/>
  <c r="S29" i="2" s="1"/>
  <c r="P29" i="2"/>
  <c r="N29" i="2"/>
  <c r="L29" i="2"/>
  <c r="K29" i="2"/>
  <c r="M29" i="2" s="1"/>
  <c r="J29" i="2"/>
  <c r="E29" i="2"/>
  <c r="Y29" i="2" s="1"/>
  <c r="AQ35" i="2"/>
  <c r="AN35" i="2"/>
  <c r="AL35" i="2"/>
  <c r="AK35" i="2"/>
  <c r="AM35" i="2" s="1"/>
  <c r="AJ35" i="2"/>
  <c r="AG35" i="2"/>
  <c r="AE35" i="2"/>
  <c r="AD35" i="2"/>
  <c r="AF35" i="2" s="1"/>
  <c r="AC35" i="2"/>
  <c r="X35" i="2"/>
  <c r="T35" i="2"/>
  <c r="R35" i="2"/>
  <c r="Q35" i="2"/>
  <c r="S35" i="2" s="1"/>
  <c r="P35" i="2"/>
  <c r="N35" i="2"/>
  <c r="L35" i="2"/>
  <c r="K35" i="2"/>
  <c r="M35" i="2" s="1"/>
  <c r="J35" i="2"/>
  <c r="E35" i="2"/>
  <c r="AT55" i="2"/>
  <c r="AR55" i="2"/>
  <c r="AQ55" i="2"/>
  <c r="AS55" i="2" s="1"/>
  <c r="AP55" i="2"/>
  <c r="AN55" i="2"/>
  <c r="AL55" i="2"/>
  <c r="AK55" i="2"/>
  <c r="AM55" i="2" s="1"/>
  <c r="AJ55" i="2"/>
  <c r="AG55" i="2"/>
  <c r="AE55" i="2"/>
  <c r="AD55" i="2"/>
  <c r="AF55" i="2" s="1"/>
  <c r="AC55" i="2"/>
  <c r="AA55" i="2"/>
  <c r="Y55" i="2"/>
  <c r="X55" i="2"/>
  <c r="Z55" i="2" s="1"/>
  <c r="AH55" i="2" s="1"/>
  <c r="W55" i="2"/>
  <c r="Q55" i="2"/>
  <c r="N55" i="2"/>
  <c r="L55" i="2"/>
  <c r="K55" i="2"/>
  <c r="M55" i="2" s="1"/>
  <c r="J55" i="2"/>
  <c r="E55" i="2"/>
  <c r="R55" i="2" s="1"/>
  <c r="E7" i="2"/>
  <c r="E19" i="2"/>
  <c r="E3" i="2"/>
  <c r="E4" i="2"/>
  <c r="E31" i="2"/>
  <c r="E43" i="2"/>
  <c r="E49" i="2"/>
  <c r="E17" i="2"/>
  <c r="E5" i="2"/>
  <c r="E48" i="2"/>
  <c r="E36" i="2"/>
  <c r="E12" i="2"/>
  <c r="E6" i="2"/>
  <c r="E14" i="2"/>
  <c r="E56" i="2"/>
  <c r="E40" i="2"/>
  <c r="E21" i="2"/>
  <c r="E25" i="2"/>
  <c r="E28" i="2"/>
  <c r="E18" i="2"/>
  <c r="E23" i="2"/>
  <c r="E42" i="2"/>
  <c r="E9" i="2"/>
  <c r="E32" i="2"/>
  <c r="E53" i="2"/>
  <c r="E26" i="2"/>
  <c r="E54" i="2"/>
  <c r="E27" i="2"/>
  <c r="E24" i="2"/>
  <c r="E22" i="2"/>
  <c r="E44" i="2"/>
  <c r="E50" i="2"/>
  <c r="E39" i="2"/>
  <c r="E5" i="1"/>
  <c r="E3" i="1"/>
  <c r="E12" i="1"/>
  <c r="E11" i="1"/>
  <c r="AP43" i="2"/>
  <c r="AT42" i="2"/>
  <c r="AR42" i="2"/>
  <c r="AQ42" i="2"/>
  <c r="AP42" i="2"/>
  <c r="AK42" i="2"/>
  <c r="AE42" i="2"/>
  <c r="AD42" i="2"/>
  <c r="AA42" i="2"/>
  <c r="Y42" i="2"/>
  <c r="X42" i="2"/>
  <c r="W42" i="2"/>
  <c r="T42" i="2"/>
  <c r="R42" i="2"/>
  <c r="Q42" i="2"/>
  <c r="P42" i="2"/>
  <c r="N42" i="2"/>
  <c r="L42" i="2"/>
  <c r="K42" i="2"/>
  <c r="J42" i="2"/>
  <c r="AL42" i="2"/>
  <c r="Y21" i="2"/>
  <c r="AR50" i="2"/>
  <c r="Y53" i="2"/>
  <c r="Y28" i="2"/>
  <c r="R4" i="2"/>
  <c r="Q12" i="1"/>
  <c r="AR12" i="1"/>
  <c r="J12" i="1"/>
  <c r="K12" i="1"/>
  <c r="L12" i="1"/>
  <c r="N12" i="1"/>
  <c r="P12" i="1"/>
  <c r="R12" i="1"/>
  <c r="T12" i="1"/>
  <c r="X12" i="1"/>
  <c r="Y12" i="1"/>
  <c r="AC12" i="1"/>
  <c r="AD12" i="1"/>
  <c r="AE12" i="1"/>
  <c r="AG12" i="1"/>
  <c r="AK12" i="1"/>
  <c r="AL12" i="1"/>
  <c r="AQ12" i="1"/>
  <c r="AQ4" i="2"/>
  <c r="AK4" i="2"/>
  <c r="AD4" i="2"/>
  <c r="AA4" i="2"/>
  <c r="Y4" i="2"/>
  <c r="X4" i="2"/>
  <c r="W4" i="2"/>
  <c r="Q4" i="2"/>
  <c r="K4" i="2"/>
  <c r="L53" i="2"/>
  <c r="L28" i="2"/>
  <c r="AQ50" i="2"/>
  <c r="AK50" i="2"/>
  <c r="AG50" i="2"/>
  <c r="AE50" i="2"/>
  <c r="AD50" i="2"/>
  <c r="AC50" i="2"/>
  <c r="AA50" i="2"/>
  <c r="Y50" i="2"/>
  <c r="X50" i="2"/>
  <c r="W50" i="2"/>
  <c r="T50" i="2"/>
  <c r="R50" i="2"/>
  <c r="Q50" i="2"/>
  <c r="P50" i="2"/>
  <c r="N50" i="2"/>
  <c r="L50" i="2"/>
  <c r="K50" i="2"/>
  <c r="J50" i="2"/>
  <c r="AQ21" i="2"/>
  <c r="AK21" i="2"/>
  <c r="AE21" i="2"/>
  <c r="AD21" i="2"/>
  <c r="X21" i="2"/>
  <c r="T21" i="2"/>
  <c r="R21" i="2"/>
  <c r="Q21" i="2"/>
  <c r="P21" i="2"/>
  <c r="N21" i="2"/>
  <c r="L21" i="2"/>
  <c r="K21" i="2"/>
  <c r="J21" i="2"/>
  <c r="AQ28" i="2"/>
  <c r="AN28" i="2"/>
  <c r="AL28" i="2"/>
  <c r="AK28" i="2"/>
  <c r="AJ28" i="2"/>
  <c r="AG28" i="2"/>
  <c r="AE28" i="2"/>
  <c r="AD28" i="2"/>
  <c r="AC28" i="2"/>
  <c r="X28" i="2"/>
  <c r="T28" i="2"/>
  <c r="R28" i="2"/>
  <c r="Q28" i="2"/>
  <c r="P28" i="2"/>
  <c r="K28" i="2"/>
  <c r="AR53" i="2"/>
  <c r="AQ53" i="2"/>
  <c r="AN53" i="2"/>
  <c r="AL53" i="2"/>
  <c r="AK53" i="2"/>
  <c r="AJ53" i="2"/>
  <c r="AG53" i="2"/>
  <c r="AE53" i="2"/>
  <c r="AD53" i="2"/>
  <c r="AC53" i="2"/>
  <c r="X53" i="2"/>
  <c r="T53" i="2"/>
  <c r="R53" i="2"/>
  <c r="Q53" i="2"/>
  <c r="P53" i="2"/>
  <c r="K53" i="2"/>
  <c r="AM10" i="2" l="1"/>
  <c r="U52" i="2"/>
  <c r="AM52" i="2"/>
  <c r="AE15" i="2"/>
  <c r="AL15" i="2"/>
  <c r="AM15" i="2"/>
  <c r="U51" i="2"/>
  <c r="AM51" i="2"/>
  <c r="U45" i="2"/>
  <c r="AM45" i="2"/>
  <c r="Y13" i="2"/>
  <c r="AL13" i="2"/>
  <c r="AM13" i="2"/>
  <c r="AM47" i="2"/>
  <c r="AU55" i="2"/>
  <c r="U47" i="2"/>
  <c r="AR37" i="2"/>
  <c r="AL37" i="2"/>
  <c r="AM37" i="2"/>
  <c r="AR20" i="2"/>
  <c r="Y20" i="2"/>
  <c r="U20" i="2"/>
  <c r="Z20" i="2"/>
  <c r="AS20" i="2"/>
  <c r="Y11" i="2"/>
  <c r="AR11" i="2"/>
  <c r="AS11" i="2"/>
  <c r="AE16" i="2"/>
  <c r="AR16" i="2"/>
  <c r="AS16" i="2"/>
  <c r="AS38" i="2"/>
  <c r="U38" i="2"/>
  <c r="AS34" i="2"/>
  <c r="U34" i="2"/>
  <c r="AS41" i="2"/>
  <c r="U41" i="2"/>
  <c r="AS37" i="2"/>
  <c r="U37" i="2"/>
  <c r="Y35" i="2"/>
  <c r="AR35" i="2"/>
  <c r="AS35" i="2"/>
  <c r="AS33" i="2"/>
  <c r="U33" i="2"/>
  <c r="Y10" i="2"/>
  <c r="AR10" i="2"/>
  <c r="AS10" i="2"/>
  <c r="AS8" i="2"/>
  <c r="AS30" i="2"/>
  <c r="U30" i="2"/>
  <c r="AE4" i="1"/>
  <c r="AR4" i="1"/>
  <c r="AS4" i="1"/>
  <c r="AS9" i="1"/>
  <c r="U9" i="1"/>
  <c r="AS7" i="1"/>
  <c r="U7" i="1"/>
  <c r="AF16" i="2"/>
  <c r="AH16" i="2" s="1"/>
  <c r="U16" i="2"/>
  <c r="U46" i="2"/>
  <c r="AF46" i="2"/>
  <c r="AF15" i="2"/>
  <c r="AH15" i="2" s="1"/>
  <c r="U15" i="2"/>
  <c r="Y8" i="2"/>
  <c r="AE8" i="2"/>
  <c r="AF8" i="2"/>
  <c r="AF4" i="1"/>
  <c r="AH4" i="1" s="1"/>
  <c r="U4" i="1"/>
  <c r="AF8" i="1"/>
  <c r="AH8" i="1" s="1"/>
  <c r="U8" i="1"/>
  <c r="Z10" i="1"/>
  <c r="AH10" i="1"/>
  <c r="U10" i="1"/>
  <c r="Z6" i="1"/>
  <c r="AH6" i="1"/>
  <c r="U6" i="1"/>
  <c r="Z11" i="2"/>
  <c r="AH11" i="2"/>
  <c r="U11" i="2"/>
  <c r="U13" i="2"/>
  <c r="Z13" i="2"/>
  <c r="Z8" i="2"/>
  <c r="AH8" i="2"/>
  <c r="U8" i="2"/>
  <c r="Z10" i="2"/>
  <c r="AH10" i="2"/>
  <c r="U10" i="2"/>
  <c r="Z29" i="2"/>
  <c r="AH29" i="2"/>
  <c r="U29" i="2"/>
  <c r="Z35" i="2"/>
  <c r="AH35" i="2"/>
  <c r="U35" i="2"/>
  <c r="S55" i="2"/>
  <c r="U55" i="2"/>
  <c r="AE4" i="2"/>
  <c r="AF4" i="2" s="1"/>
  <c r="AR21" i="2"/>
  <c r="AR28" i="2"/>
  <c r="AS28" i="2" s="1"/>
  <c r="AR4" i="2"/>
  <c r="AS4" i="2" s="1"/>
  <c r="M42" i="2"/>
  <c r="Z42" i="2"/>
  <c r="AF42" i="2"/>
  <c r="AS42" i="2"/>
  <c r="S42" i="2"/>
  <c r="AM42" i="2"/>
  <c r="L4" i="2"/>
  <c r="M4" i="2" s="1"/>
  <c r="AL4" i="2"/>
  <c r="AM4" i="2" s="1"/>
  <c r="AL21" i="2"/>
  <c r="AM21" i="2" s="1"/>
  <c r="AF12" i="1"/>
  <c r="AM12" i="1"/>
  <c r="Z12" i="1"/>
  <c r="AS12" i="1"/>
  <c r="S12" i="1"/>
  <c r="M12" i="1"/>
  <c r="Z4" i="2"/>
  <c r="S4" i="2"/>
  <c r="AF50" i="2"/>
  <c r="AL50" i="2"/>
  <c r="AM50" i="2" s="1"/>
  <c r="M50" i="2"/>
  <c r="AS50" i="2"/>
  <c r="S50" i="2"/>
  <c r="Z50" i="2"/>
  <c r="S28" i="2"/>
  <c r="AF21" i="2"/>
  <c r="Z21" i="2"/>
  <c r="M21" i="2"/>
  <c r="S21" i="2"/>
  <c r="AS21" i="2"/>
  <c r="Z53" i="2"/>
  <c r="AF28" i="2"/>
  <c r="AM28" i="2"/>
  <c r="AF53" i="2"/>
  <c r="M28" i="2"/>
  <c r="Z28" i="2"/>
  <c r="S53" i="2"/>
  <c r="AS53" i="2"/>
  <c r="M53" i="2"/>
  <c r="AM53" i="2"/>
  <c r="AU52" i="2" l="1"/>
  <c r="G52" i="2"/>
  <c r="AU53" i="2"/>
  <c r="AU10" i="2"/>
  <c r="AH20" i="2"/>
  <c r="AH46" i="2"/>
  <c r="AH13" i="2"/>
  <c r="U42" i="2"/>
  <c r="AH42" i="2"/>
  <c r="U4" i="2"/>
  <c r="AH12" i="1"/>
  <c r="AH4" i="2"/>
  <c r="U12" i="1"/>
  <c r="AH50" i="2"/>
  <c r="U50" i="2"/>
  <c r="AH53" i="2"/>
  <c r="AH28" i="2"/>
  <c r="U28" i="2"/>
  <c r="AH21" i="2"/>
  <c r="U21" i="2"/>
  <c r="U53" i="2"/>
  <c r="L5" i="1"/>
  <c r="L11" i="1"/>
  <c r="L3" i="1" l="1"/>
  <c r="AR3" i="1"/>
  <c r="AQ3" i="1"/>
  <c r="AL3" i="1"/>
  <c r="AK3" i="1"/>
  <c r="AE3" i="1"/>
  <c r="AD3" i="1"/>
  <c r="Y3" i="1"/>
  <c r="X3" i="1"/>
  <c r="Q3" i="1"/>
  <c r="K3" i="1"/>
  <c r="R3" i="1"/>
  <c r="AS3" i="1" l="1"/>
  <c r="AM3" i="1"/>
  <c r="Z3" i="1"/>
  <c r="AF3" i="1"/>
  <c r="S3" i="1"/>
  <c r="M3" i="1"/>
  <c r="AT19" i="2"/>
  <c r="AR19" i="2"/>
  <c r="AQ19" i="2"/>
  <c r="AP19" i="2"/>
  <c r="AN19" i="2"/>
  <c r="AL19" i="2"/>
  <c r="AK19" i="2"/>
  <c r="AJ19" i="2"/>
  <c r="AG19" i="2"/>
  <c r="AE19" i="2"/>
  <c r="AD19" i="2"/>
  <c r="AC19" i="2"/>
  <c r="Y19" i="2"/>
  <c r="X19" i="2"/>
  <c r="R19" i="2"/>
  <c r="Q19" i="2"/>
  <c r="L19" i="2"/>
  <c r="K19" i="2"/>
  <c r="AH3" i="1" l="1"/>
  <c r="U3" i="1"/>
  <c r="AM19" i="2"/>
  <c r="M19" i="2"/>
  <c r="S19" i="2"/>
  <c r="Z19" i="2"/>
  <c r="AF19" i="2"/>
  <c r="AS19" i="2"/>
  <c r="AT43" i="2"/>
  <c r="AR43" i="2"/>
  <c r="AQ43" i="2"/>
  <c r="AN43" i="2"/>
  <c r="AL43" i="2"/>
  <c r="AK43" i="2"/>
  <c r="AJ43" i="2"/>
  <c r="AD43" i="2"/>
  <c r="Y43" i="2"/>
  <c r="X43" i="2"/>
  <c r="T43" i="2"/>
  <c r="R43" i="2"/>
  <c r="Q43" i="2"/>
  <c r="P43" i="2"/>
  <c r="L43" i="2"/>
  <c r="K43" i="2"/>
  <c r="AE43" i="2"/>
  <c r="U19" i="2" l="1"/>
  <c r="AH19" i="2"/>
  <c r="AM43" i="2"/>
  <c r="M43" i="2"/>
  <c r="S43" i="2"/>
  <c r="Z43" i="2"/>
  <c r="AF43" i="2"/>
  <c r="AS43" i="2"/>
  <c r="AT54" i="2"/>
  <c r="AR54" i="2"/>
  <c r="AQ54" i="2"/>
  <c r="AP54" i="2"/>
  <c r="AK54" i="2"/>
  <c r="AG54" i="2"/>
  <c r="AE54" i="2"/>
  <c r="AD54" i="2"/>
  <c r="AC54" i="2"/>
  <c r="AA54" i="2"/>
  <c r="Y54" i="2"/>
  <c r="X54" i="2"/>
  <c r="W54" i="2"/>
  <c r="T54" i="2"/>
  <c r="R54" i="2"/>
  <c r="Q54" i="2"/>
  <c r="P54" i="2"/>
  <c r="L54" i="2"/>
  <c r="K54" i="2"/>
  <c r="AL54" i="2"/>
  <c r="AR9" i="2"/>
  <c r="AQ9" i="2"/>
  <c r="AK9" i="2"/>
  <c r="AG9" i="2"/>
  <c r="AE9" i="2"/>
  <c r="AD9" i="2"/>
  <c r="AC9" i="2"/>
  <c r="Y9" i="2"/>
  <c r="X9" i="2"/>
  <c r="T9" i="2"/>
  <c r="R9" i="2"/>
  <c r="Q9" i="2"/>
  <c r="P9" i="2"/>
  <c r="N9" i="2"/>
  <c r="L9" i="2"/>
  <c r="K9" i="2"/>
  <c r="J9" i="2"/>
  <c r="AL9" i="2"/>
  <c r="U43" i="2" l="1"/>
  <c r="M54" i="2"/>
  <c r="S54" i="2"/>
  <c r="AF54" i="2"/>
  <c r="AH43" i="2"/>
  <c r="AS54" i="2"/>
  <c r="Z54" i="2"/>
  <c r="AH54" i="2" s="1"/>
  <c r="M9" i="2"/>
  <c r="S9" i="2"/>
  <c r="AF9" i="2"/>
  <c r="AM54" i="2"/>
  <c r="AU54" i="2" s="1"/>
  <c r="AS9" i="2"/>
  <c r="Z9" i="2"/>
  <c r="AM9" i="2"/>
  <c r="AQ48" i="2"/>
  <c r="AN48" i="2"/>
  <c r="AL48" i="2"/>
  <c r="AK48" i="2"/>
  <c r="AJ48" i="2"/>
  <c r="AG48" i="2"/>
  <c r="AE48" i="2"/>
  <c r="AD48" i="2"/>
  <c r="AC48" i="2"/>
  <c r="X48" i="2"/>
  <c r="R48" i="2"/>
  <c r="Q48" i="2"/>
  <c r="K48" i="2"/>
  <c r="Y48" i="2"/>
  <c r="L48" i="2" l="1"/>
  <c r="M48" i="2" s="1"/>
  <c r="U54" i="2"/>
  <c r="U9" i="2"/>
  <c r="AH9" i="2"/>
  <c r="S48" i="2"/>
  <c r="AF48" i="2"/>
  <c r="AM48" i="2"/>
  <c r="AR48" i="2"/>
  <c r="AS48" i="2" s="1"/>
  <c r="Z48" i="2"/>
  <c r="AT56" i="2"/>
  <c r="AR56" i="2"/>
  <c r="AQ56" i="2"/>
  <c r="AP56" i="2"/>
  <c r="AN56" i="2"/>
  <c r="AL56" i="2"/>
  <c r="AK56" i="2"/>
  <c r="AJ56" i="2"/>
  <c r="AG56" i="2"/>
  <c r="AE56" i="2"/>
  <c r="AD56" i="2"/>
  <c r="AC56" i="2"/>
  <c r="X56" i="2"/>
  <c r="T56" i="2"/>
  <c r="R56" i="2"/>
  <c r="Q56" i="2"/>
  <c r="P56" i="2"/>
  <c r="L56" i="2"/>
  <c r="K56" i="2"/>
  <c r="Y56" i="2"/>
  <c r="U48" i="2" l="1"/>
  <c r="M56" i="2"/>
  <c r="S56" i="2"/>
  <c r="AH48" i="2"/>
  <c r="AM56" i="2"/>
  <c r="AF56" i="2"/>
  <c r="Z56" i="2"/>
  <c r="AS56" i="2"/>
  <c r="U56" i="2" l="1"/>
  <c r="AH56" i="2"/>
  <c r="AT18" i="2"/>
  <c r="AR18" i="2"/>
  <c r="AQ18" i="2"/>
  <c r="AP18" i="2"/>
  <c r="AK18" i="2"/>
  <c r="AE18" i="2"/>
  <c r="AD18" i="2"/>
  <c r="Y18" i="2"/>
  <c r="X18" i="2"/>
  <c r="R18" i="2"/>
  <c r="Q18" i="2"/>
  <c r="K18" i="2"/>
  <c r="L18" i="2"/>
  <c r="S18" i="2" l="1"/>
  <c r="AL18" i="2"/>
  <c r="AM18" i="2" s="1"/>
  <c r="Z18" i="2"/>
  <c r="AF18" i="2"/>
  <c r="AS18" i="2"/>
  <c r="M18" i="2"/>
  <c r="AQ32" i="2"/>
  <c r="AK32" i="2"/>
  <c r="AE32" i="2"/>
  <c r="AD32" i="2"/>
  <c r="Y32" i="2"/>
  <c r="X32" i="2"/>
  <c r="R32" i="2"/>
  <c r="Q32" i="2"/>
  <c r="N32" i="2"/>
  <c r="L32" i="2"/>
  <c r="K32" i="2"/>
  <c r="J32" i="2"/>
  <c r="AR32" i="2"/>
  <c r="AQ44" i="2"/>
  <c r="AN44" i="2"/>
  <c r="AL44" i="2"/>
  <c r="AK44" i="2"/>
  <c r="AJ44" i="2"/>
  <c r="AE44" i="2"/>
  <c r="AD44" i="2"/>
  <c r="Y44" i="2"/>
  <c r="X44" i="2"/>
  <c r="Q44" i="2"/>
  <c r="K44" i="2"/>
  <c r="R44" i="2"/>
  <c r="U18" i="2" l="1"/>
  <c r="AH18" i="2"/>
  <c r="M32" i="2"/>
  <c r="S32" i="2"/>
  <c r="AL32" i="2"/>
  <c r="AM32" i="2" s="1"/>
  <c r="Z32" i="2"/>
  <c r="AF32" i="2"/>
  <c r="AS32" i="2"/>
  <c r="AM44" i="2"/>
  <c r="S44" i="2"/>
  <c r="AR44" i="2"/>
  <c r="AS44" i="2" s="1"/>
  <c r="AF44" i="2"/>
  <c r="Z44" i="2"/>
  <c r="L44" i="2"/>
  <c r="M44" i="2" s="1"/>
  <c r="Q5" i="1"/>
  <c r="Q11" i="1"/>
  <c r="AR27" i="2"/>
  <c r="AQ27" i="2"/>
  <c r="AL27" i="2"/>
  <c r="AK27" i="2"/>
  <c r="AD27" i="2"/>
  <c r="Y27" i="2"/>
  <c r="X27" i="2"/>
  <c r="T27" i="2"/>
  <c r="R27" i="2"/>
  <c r="Q27" i="2"/>
  <c r="P27" i="2"/>
  <c r="N27" i="2"/>
  <c r="L27" i="2"/>
  <c r="K27" i="2"/>
  <c r="J27" i="2"/>
  <c r="AE27" i="2"/>
  <c r="AR24" i="2"/>
  <c r="AQ24" i="2"/>
  <c r="AN24" i="2"/>
  <c r="AL24" i="2"/>
  <c r="AK24" i="2"/>
  <c r="AJ24" i="2"/>
  <c r="AD24" i="2"/>
  <c r="Y24" i="2"/>
  <c r="X24" i="2"/>
  <c r="R24" i="2"/>
  <c r="Q24" i="2"/>
  <c r="L24" i="2"/>
  <c r="K24" i="2"/>
  <c r="AE24" i="2"/>
  <c r="AR36" i="2"/>
  <c r="AQ36" i="2"/>
  <c r="AK36" i="2"/>
  <c r="AD36" i="2"/>
  <c r="AA36" i="2"/>
  <c r="Y36" i="2"/>
  <c r="X36" i="2"/>
  <c r="W36" i="2"/>
  <c r="R36" i="2"/>
  <c r="Q36" i="2"/>
  <c r="L36" i="2"/>
  <c r="K36" i="2"/>
  <c r="AE36" i="2"/>
  <c r="L39" i="2"/>
  <c r="K39" i="2"/>
  <c r="P39" i="2"/>
  <c r="Q39" i="2"/>
  <c r="R39" i="2"/>
  <c r="T39" i="2"/>
  <c r="W39" i="2"/>
  <c r="X39" i="2"/>
  <c r="Y39" i="2"/>
  <c r="AA39" i="2"/>
  <c r="AC39" i="2"/>
  <c r="AD39" i="2"/>
  <c r="AE39" i="2"/>
  <c r="AG39" i="2"/>
  <c r="AK39" i="2"/>
  <c r="AL39" i="2"/>
  <c r="AQ39" i="2"/>
  <c r="AR39" i="2"/>
  <c r="U32" i="2" l="1"/>
  <c r="AL36" i="2"/>
  <c r="AM36" i="2" s="1"/>
  <c r="AH32" i="2"/>
  <c r="AM27" i="2"/>
  <c r="AS27" i="2"/>
  <c r="AH44" i="2"/>
  <c r="U44" i="2"/>
  <c r="S27" i="2"/>
  <c r="Z27" i="2"/>
  <c r="Z24" i="2"/>
  <c r="M27" i="2"/>
  <c r="AF27" i="2"/>
  <c r="S24" i="2"/>
  <c r="M36" i="2"/>
  <c r="S36" i="2"/>
  <c r="AM24" i="2"/>
  <c r="AS24" i="2"/>
  <c r="M24" i="2"/>
  <c r="AF24" i="2"/>
  <c r="Z36" i="2"/>
  <c r="AS36" i="2"/>
  <c r="AF36" i="2"/>
  <c r="AF39" i="2"/>
  <c r="S39" i="2"/>
  <c r="AM39" i="2"/>
  <c r="Z39" i="2"/>
  <c r="AS39" i="2"/>
  <c r="M39" i="2"/>
  <c r="Q26" i="2"/>
  <c r="Q6" i="2"/>
  <c r="Q14" i="2"/>
  <c r="Q25" i="2"/>
  <c r="Q22" i="2"/>
  <c r="Q3" i="2"/>
  <c r="Y26" i="2"/>
  <c r="K26" i="2"/>
  <c r="L26" i="2"/>
  <c r="R26" i="2"/>
  <c r="X26" i="2"/>
  <c r="AC26" i="2"/>
  <c r="AD26" i="2"/>
  <c r="AE26" i="2"/>
  <c r="AG26" i="2"/>
  <c r="AJ26" i="2"/>
  <c r="AK26" i="2"/>
  <c r="AL26" i="2"/>
  <c r="AN26" i="2"/>
  <c r="AQ26" i="2"/>
  <c r="AR26" i="2"/>
  <c r="Y6" i="2"/>
  <c r="K6" i="2"/>
  <c r="L6" i="2"/>
  <c r="R6" i="2"/>
  <c r="X6" i="2"/>
  <c r="AD6" i="2"/>
  <c r="AE6" i="2"/>
  <c r="AK6" i="2"/>
  <c r="AL6" i="2"/>
  <c r="AQ6" i="2"/>
  <c r="AR6" i="2"/>
  <c r="Y14" i="2"/>
  <c r="K14" i="2"/>
  <c r="L14" i="2"/>
  <c r="P14" i="2"/>
  <c r="R14" i="2"/>
  <c r="T14" i="2"/>
  <c r="X14" i="2"/>
  <c r="AD14" i="2"/>
  <c r="AJ14" i="2"/>
  <c r="AK14" i="2"/>
  <c r="AL14" i="2"/>
  <c r="AN14" i="2"/>
  <c r="AQ14" i="2"/>
  <c r="AR14" i="2"/>
  <c r="Y25" i="2"/>
  <c r="K25" i="2"/>
  <c r="L25" i="2"/>
  <c r="P25" i="2"/>
  <c r="R25" i="2"/>
  <c r="T25" i="2"/>
  <c r="X25" i="2"/>
  <c r="AD25" i="2"/>
  <c r="AK25" i="2"/>
  <c r="AL25" i="2"/>
  <c r="AQ25" i="2"/>
  <c r="AR25" i="2"/>
  <c r="Y3" i="2"/>
  <c r="K3" i="2"/>
  <c r="L3" i="2"/>
  <c r="R3" i="2"/>
  <c r="X3" i="2"/>
  <c r="AD3" i="2"/>
  <c r="AK3" i="2"/>
  <c r="AL3" i="2"/>
  <c r="AQ3" i="2"/>
  <c r="AR3" i="2"/>
  <c r="Y22" i="2"/>
  <c r="J22" i="2"/>
  <c r="K22" i="2"/>
  <c r="L22" i="2"/>
  <c r="N22" i="2"/>
  <c r="P22" i="2"/>
  <c r="R22" i="2"/>
  <c r="T22" i="2"/>
  <c r="X22" i="2"/>
  <c r="AD22" i="2"/>
  <c r="AK22" i="2"/>
  <c r="AL22" i="2"/>
  <c r="AQ22" i="2"/>
  <c r="AR22" i="2"/>
  <c r="AR7" i="2"/>
  <c r="AR31" i="2"/>
  <c r="AR40" i="2"/>
  <c r="AR49" i="2"/>
  <c r="AR17" i="2"/>
  <c r="AR12" i="2"/>
  <c r="AL31" i="2"/>
  <c r="AL40" i="2"/>
  <c r="AL5" i="2"/>
  <c r="AL17" i="2"/>
  <c r="AE23" i="2"/>
  <c r="AE31" i="2"/>
  <c r="AE40" i="2"/>
  <c r="AE5" i="2"/>
  <c r="AE49" i="2"/>
  <c r="AE17" i="2"/>
  <c r="Y7" i="2"/>
  <c r="Y23" i="2"/>
  <c r="Y31" i="2"/>
  <c r="Y40" i="2"/>
  <c r="Y49" i="2"/>
  <c r="Y17" i="2"/>
  <c r="Y12" i="2"/>
  <c r="R23" i="2"/>
  <c r="R40" i="2"/>
  <c r="L31" i="2"/>
  <c r="L5" i="2"/>
  <c r="L12" i="2"/>
  <c r="Y11" i="1"/>
  <c r="J11" i="1"/>
  <c r="K11" i="1"/>
  <c r="N11" i="1"/>
  <c r="P11" i="1"/>
  <c r="R11" i="1"/>
  <c r="T11" i="1"/>
  <c r="X11" i="1"/>
  <c r="AD11" i="1"/>
  <c r="AE11" i="1"/>
  <c r="AJ11" i="1"/>
  <c r="AK11" i="1"/>
  <c r="AL11" i="1"/>
  <c r="AN11" i="1"/>
  <c r="AQ11" i="1"/>
  <c r="AR11" i="1"/>
  <c r="Y5" i="1"/>
  <c r="K5" i="1"/>
  <c r="P5" i="1"/>
  <c r="R5" i="1"/>
  <c r="T5" i="1"/>
  <c r="X5" i="1"/>
  <c r="AD5" i="1"/>
  <c r="AJ5" i="1"/>
  <c r="AK5" i="1"/>
  <c r="AL5" i="1"/>
  <c r="AN5" i="1"/>
  <c r="AQ5" i="1"/>
  <c r="AU38" i="2" l="1"/>
  <c r="AH24" i="2"/>
  <c r="AR5" i="1"/>
  <c r="AS5" i="1" s="1"/>
  <c r="U27" i="2"/>
  <c r="U36" i="2"/>
  <c r="AE5" i="1"/>
  <c r="AF5" i="1" s="1"/>
  <c r="AM11" i="1"/>
  <c r="AH27" i="2"/>
  <c r="U24" i="2"/>
  <c r="AH39" i="2"/>
  <c r="U39" i="2"/>
  <c r="AH36" i="2"/>
  <c r="AE14" i="2"/>
  <c r="AF14" i="2" s="1"/>
  <c r="AE25" i="2"/>
  <c r="AF25" i="2" s="1"/>
  <c r="AE22" i="2"/>
  <c r="AF22" i="2" s="1"/>
  <c r="AE3" i="2"/>
  <c r="AF3" i="2" s="1"/>
  <c r="AM26" i="2"/>
  <c r="Z26" i="2"/>
  <c r="AS26" i="2"/>
  <c r="AF26" i="2"/>
  <c r="AM6" i="2"/>
  <c r="S26" i="2"/>
  <c r="S6" i="2"/>
  <c r="M26" i="2"/>
  <c r="AS6" i="2"/>
  <c r="AM14" i="2"/>
  <c r="Z14" i="2"/>
  <c r="AF6" i="2"/>
  <c r="Z6" i="2"/>
  <c r="M6" i="2"/>
  <c r="S14" i="2"/>
  <c r="M14" i="2"/>
  <c r="AS14" i="2"/>
  <c r="S25" i="2"/>
  <c r="AM25" i="2"/>
  <c r="S3" i="2"/>
  <c r="M25" i="2"/>
  <c r="AS25" i="2"/>
  <c r="Z25" i="2"/>
  <c r="AM3" i="2"/>
  <c r="M3" i="2"/>
  <c r="AS3" i="2"/>
  <c r="Z3" i="2"/>
  <c r="S22" i="2"/>
  <c r="AM22" i="2"/>
  <c r="AS22" i="2"/>
  <c r="Z22" i="2"/>
  <c r="M22" i="2"/>
  <c r="S11" i="1"/>
  <c r="AM5" i="1"/>
  <c r="S5" i="1"/>
  <c r="M11" i="1"/>
  <c r="AS11" i="1"/>
  <c r="AF11" i="1"/>
  <c r="Z11" i="1"/>
  <c r="Z5" i="1"/>
  <c r="M5" i="1"/>
  <c r="AQ12" i="2"/>
  <c r="AK12" i="2"/>
  <c r="AD12" i="2"/>
  <c r="X12" i="2"/>
  <c r="Q12" i="2"/>
  <c r="K12" i="2"/>
  <c r="AL12" i="2"/>
  <c r="AQ5" i="2"/>
  <c r="AN5" i="2"/>
  <c r="AK5" i="2"/>
  <c r="AJ5" i="2"/>
  <c r="AD5" i="2"/>
  <c r="X5" i="2"/>
  <c r="Q5" i="2"/>
  <c r="K5" i="2"/>
  <c r="AR5" i="2"/>
  <c r="AU19" i="2" l="1"/>
  <c r="AU42" i="2"/>
  <c r="U5" i="1"/>
  <c r="R12" i="2"/>
  <c r="S12" i="2" s="1"/>
  <c r="AE12" i="2"/>
  <c r="AF12" i="2" s="1"/>
  <c r="AH26" i="2"/>
  <c r="U26" i="2"/>
  <c r="U14" i="2"/>
  <c r="U3" i="2"/>
  <c r="U6" i="2"/>
  <c r="AH14" i="2"/>
  <c r="AH6" i="2"/>
  <c r="R5" i="2"/>
  <c r="S5" i="2" s="1"/>
  <c r="Y5" i="2"/>
  <c r="Z5" i="2" s="1"/>
  <c r="U25" i="2"/>
  <c r="AH25" i="2"/>
  <c r="AH3" i="2"/>
  <c r="U22" i="2"/>
  <c r="AH22" i="2"/>
  <c r="U11" i="1"/>
  <c r="AH11" i="1"/>
  <c r="AH5" i="1"/>
  <c r="AM5" i="2"/>
  <c r="M12" i="2"/>
  <c r="Z12" i="2"/>
  <c r="AM12" i="2"/>
  <c r="AS12" i="2"/>
  <c r="AF5" i="2"/>
  <c r="AS5" i="2"/>
  <c r="M5" i="2"/>
  <c r="AH12" i="2" l="1"/>
  <c r="AH5" i="2"/>
  <c r="U12" i="2"/>
  <c r="U5" i="2"/>
  <c r="AQ31" i="2" l="1"/>
  <c r="AK31" i="2"/>
  <c r="AD31" i="2"/>
  <c r="X31" i="2"/>
  <c r="Q31" i="2"/>
  <c r="K31" i="2"/>
  <c r="R31" i="2"/>
  <c r="AM31" i="2" l="1"/>
  <c r="M31" i="2"/>
  <c r="Z31" i="2"/>
  <c r="AF31" i="2"/>
  <c r="AS31" i="2"/>
  <c r="S31" i="2"/>
  <c r="AH31" i="2" l="1"/>
  <c r="U31" i="2"/>
  <c r="AT17" i="2" l="1"/>
  <c r="AQ17" i="2"/>
  <c r="AP17" i="2"/>
  <c r="AK17" i="2"/>
  <c r="AG17" i="2"/>
  <c r="AD17" i="2"/>
  <c r="AC17" i="2"/>
  <c r="AA17" i="2"/>
  <c r="X17" i="2"/>
  <c r="W17" i="2"/>
  <c r="Q17" i="2"/>
  <c r="K17" i="2"/>
  <c r="AT49" i="2"/>
  <c r="AQ49" i="2"/>
  <c r="AP49" i="2"/>
  <c r="AK49" i="2"/>
  <c r="AG49" i="2"/>
  <c r="AD49" i="2"/>
  <c r="AC49" i="2"/>
  <c r="AA49" i="2"/>
  <c r="X49" i="2"/>
  <c r="W49" i="2"/>
  <c r="Q49" i="2"/>
  <c r="K49" i="2"/>
  <c r="AL49" i="2"/>
  <c r="AT40" i="2"/>
  <c r="AQ40" i="2"/>
  <c r="AP40" i="2"/>
  <c r="AK40" i="2"/>
  <c r="AD40" i="2"/>
  <c r="X40" i="2"/>
  <c r="Q40" i="2"/>
  <c r="K40" i="2"/>
  <c r="L40" i="2"/>
  <c r="AQ7" i="2"/>
  <c r="AK7" i="2"/>
  <c r="AD7" i="2"/>
  <c r="X7" i="2"/>
  <c r="Q7" i="2"/>
  <c r="K7" i="2"/>
  <c r="AQ23" i="2"/>
  <c r="AP7" i="2" s="1"/>
  <c r="AK23" i="2"/>
  <c r="AG23" i="2"/>
  <c r="AD23" i="2"/>
  <c r="AC23" i="2"/>
  <c r="AA23" i="2"/>
  <c r="X23" i="2"/>
  <c r="W23" i="2"/>
  <c r="T23" i="2"/>
  <c r="Q23" i="2"/>
  <c r="P23" i="2"/>
  <c r="K23" i="2"/>
  <c r="AL23" i="2"/>
  <c r="AJ10" i="2" l="1"/>
  <c r="AJ52" i="2"/>
  <c r="AJ15" i="2"/>
  <c r="AJ51" i="2"/>
  <c r="J47" i="2"/>
  <c r="AJ45" i="2"/>
  <c r="AJ13" i="2"/>
  <c r="AJ47" i="2"/>
  <c r="AJ37" i="2"/>
  <c r="W20" i="2"/>
  <c r="AP20" i="2"/>
  <c r="AP16" i="2"/>
  <c r="AP14" i="2"/>
  <c r="AP11" i="2"/>
  <c r="AP38" i="2"/>
  <c r="AP34" i="2"/>
  <c r="AP41" i="2"/>
  <c r="AP37" i="2"/>
  <c r="AP35" i="2"/>
  <c r="AP33" i="2"/>
  <c r="AP9" i="2"/>
  <c r="AP6" i="2"/>
  <c r="AP8" i="2"/>
  <c r="AP27" i="2"/>
  <c r="AP10" i="2"/>
  <c r="AP30" i="2"/>
  <c r="AC16" i="2"/>
  <c r="AC46" i="2"/>
  <c r="AC44" i="2"/>
  <c r="AC42" i="2"/>
  <c r="AC15" i="2"/>
  <c r="AC8" i="2"/>
  <c r="W11" i="2"/>
  <c r="W13" i="2"/>
  <c r="W8" i="2"/>
  <c r="W10" i="2"/>
  <c r="W29" i="2"/>
  <c r="W35" i="2"/>
  <c r="P18" i="2"/>
  <c r="P55" i="2"/>
  <c r="J56" i="2"/>
  <c r="J14" i="2"/>
  <c r="J12" i="2"/>
  <c r="AC4" i="2"/>
  <c r="AP53" i="2"/>
  <c r="AP50" i="2"/>
  <c r="AP28" i="2"/>
  <c r="AP4" i="2"/>
  <c r="AP21" i="2"/>
  <c r="AP3" i="2"/>
  <c r="AP25" i="2"/>
  <c r="AJ42" i="2"/>
  <c r="AJ4" i="2"/>
  <c r="W53" i="2"/>
  <c r="W28" i="2"/>
  <c r="W24" i="2"/>
  <c r="W27" i="2"/>
  <c r="P36" i="2"/>
  <c r="P4" i="2"/>
  <c r="J6" i="2"/>
  <c r="J3" i="2"/>
  <c r="AJ27" i="2"/>
  <c r="AJ21" i="2"/>
  <c r="AJ3" i="2"/>
  <c r="W9" i="2"/>
  <c r="W43" i="2"/>
  <c r="W18" i="2"/>
  <c r="J4" i="2"/>
  <c r="P24" i="2"/>
  <c r="J54" i="2"/>
  <c r="AC21" i="2"/>
  <c r="AC6" i="2"/>
  <c r="AJ6" i="2"/>
  <c r="AJ50" i="2"/>
  <c r="AP39" i="2"/>
  <c r="AP24" i="2"/>
  <c r="AP12" i="2"/>
  <c r="W21" i="2"/>
  <c r="J36" i="2"/>
  <c r="W19" i="2"/>
  <c r="P19" i="2"/>
  <c r="J25" i="2"/>
  <c r="J28" i="2"/>
  <c r="J24" i="2"/>
  <c r="J53" i="2"/>
  <c r="AC18" i="2"/>
  <c r="AJ39" i="2"/>
  <c r="AJ31" i="2"/>
  <c r="W12" i="2"/>
  <c r="W31" i="2"/>
  <c r="J26" i="2"/>
  <c r="J43" i="2"/>
  <c r="P26" i="2"/>
  <c r="P48" i="2"/>
  <c r="P6" i="2"/>
  <c r="P32" i="2"/>
  <c r="J5" i="2"/>
  <c r="J19" i="2"/>
  <c r="J48" i="2"/>
  <c r="J31" i="2"/>
  <c r="AC5" i="2"/>
  <c r="AC43" i="2"/>
  <c r="AC32" i="2"/>
  <c r="AC40" i="2"/>
  <c r="AC31" i="2"/>
  <c r="AJ54" i="2"/>
  <c r="AJ9" i="2"/>
  <c r="AJ17" i="2"/>
  <c r="AJ22" i="2"/>
  <c r="AJ40" i="2"/>
  <c r="AJ25" i="2"/>
  <c r="AP36" i="2"/>
  <c r="W48" i="2"/>
  <c r="AP48" i="2"/>
  <c r="AP26" i="2"/>
  <c r="AP22" i="2"/>
  <c r="AP31" i="2"/>
  <c r="W56" i="2"/>
  <c r="W7" i="2"/>
  <c r="W44" i="2"/>
  <c r="W32" i="2"/>
  <c r="W40" i="2"/>
  <c r="P40" i="2"/>
  <c r="P3" i="2"/>
  <c r="P44" i="2"/>
  <c r="AJ18" i="2"/>
  <c r="J18" i="2"/>
  <c r="AE7" i="2"/>
  <c r="AF7" i="2" s="1"/>
  <c r="AL7" i="2"/>
  <c r="AM7" i="2" s="1"/>
  <c r="AJ36" i="2"/>
  <c r="AJ49" i="2"/>
  <c r="AJ7" i="2"/>
  <c r="AJ32" i="2"/>
  <c r="AJ12" i="2"/>
  <c r="AJ23" i="2"/>
  <c r="AP32" i="2"/>
  <c r="L23" i="2"/>
  <c r="M23" i="2" s="1"/>
  <c r="AR23" i="2"/>
  <c r="AS23" i="2" s="1"/>
  <c r="AP5" i="2"/>
  <c r="AP23" i="2"/>
  <c r="AP44" i="2"/>
  <c r="J44" i="2"/>
  <c r="AC27" i="2"/>
  <c r="AC24" i="2"/>
  <c r="AC36" i="2"/>
  <c r="AC7" i="2"/>
  <c r="AC12" i="2"/>
  <c r="AC14" i="2"/>
  <c r="AC25" i="2"/>
  <c r="J39" i="2"/>
  <c r="AC3" i="2"/>
  <c r="AC22" i="2"/>
  <c r="W26" i="2"/>
  <c r="W6" i="2"/>
  <c r="W5" i="2"/>
  <c r="W14" i="2"/>
  <c r="W25" i="2"/>
  <c r="W3" i="2"/>
  <c r="W22" i="2"/>
  <c r="L17" i="2"/>
  <c r="M17" i="2" s="1"/>
  <c r="R17" i="2"/>
  <c r="S17" i="2" s="1"/>
  <c r="R7" i="2"/>
  <c r="S7" i="2" s="1"/>
  <c r="L7" i="2"/>
  <c r="M7" i="2" s="1"/>
  <c r="R49" i="2"/>
  <c r="S49" i="2" s="1"/>
  <c r="L49" i="2"/>
  <c r="M49" i="2" s="1"/>
  <c r="P12" i="2"/>
  <c r="AF17" i="2"/>
  <c r="AM17" i="2"/>
  <c r="P5" i="2"/>
  <c r="P49" i="2"/>
  <c r="P31" i="2"/>
  <c r="P17" i="2"/>
  <c r="AM49" i="2"/>
  <c r="S23" i="2"/>
  <c r="AF23" i="2"/>
  <c r="AM23" i="2"/>
  <c r="P7" i="2"/>
  <c r="AF49" i="2"/>
  <c r="Z7" i="2"/>
  <c r="S40" i="2"/>
  <c r="AF40" i="2"/>
  <c r="AM40" i="2"/>
  <c r="AS49" i="2"/>
  <c r="J49" i="2"/>
  <c r="Z23" i="2"/>
  <c r="AS7" i="2"/>
  <c r="Z40" i="2"/>
  <c r="Z17" i="2"/>
  <c r="J7" i="2"/>
  <c r="J23" i="2"/>
  <c r="J40" i="2"/>
  <c r="AS40" i="2"/>
  <c r="Z49" i="2"/>
  <c r="J17" i="2"/>
  <c r="AS17" i="2"/>
  <c r="M40" i="2"/>
  <c r="AU40" i="2" l="1"/>
  <c r="AN10" i="2"/>
  <c r="AN52" i="2"/>
  <c r="AN15" i="2"/>
  <c r="AN51" i="2"/>
  <c r="N47" i="2"/>
  <c r="AN45" i="2"/>
  <c r="AN13" i="2"/>
  <c r="AN47" i="2"/>
  <c r="AN37" i="2"/>
  <c r="AT20" i="2"/>
  <c r="AA20" i="2"/>
  <c r="AU20" i="2"/>
  <c r="AT16" i="2"/>
  <c r="AT14" i="2"/>
  <c r="AT11" i="2"/>
  <c r="AT38" i="2"/>
  <c r="AT34" i="2"/>
  <c r="AT41" i="2"/>
  <c r="AT37" i="2"/>
  <c r="AT35" i="2"/>
  <c r="AT33" i="2"/>
  <c r="AT9" i="2"/>
  <c r="AT6" i="2"/>
  <c r="AT8" i="2"/>
  <c r="AT27" i="2"/>
  <c r="AT10" i="2"/>
  <c r="AT30" i="2"/>
  <c r="AG16" i="2"/>
  <c r="AG46" i="2"/>
  <c r="AG44" i="2"/>
  <c r="AG42" i="2"/>
  <c r="AG15" i="2"/>
  <c r="AG8" i="2"/>
  <c r="AU35" i="2"/>
  <c r="AU18" i="2"/>
  <c r="AA11" i="2"/>
  <c r="AA13" i="2"/>
  <c r="AA8" i="2"/>
  <c r="AA10" i="2"/>
  <c r="AA29" i="2"/>
  <c r="AA35" i="2"/>
  <c r="T18" i="2"/>
  <c r="T55" i="2"/>
  <c r="AU49" i="2"/>
  <c r="N56" i="2"/>
  <c r="N14" i="2"/>
  <c r="N12" i="2"/>
  <c r="AG4" i="2"/>
  <c r="AT53" i="2"/>
  <c r="AT28" i="2"/>
  <c r="AT21" i="2"/>
  <c r="AT4" i="2"/>
  <c r="AU44" i="2"/>
  <c r="AT25" i="2"/>
  <c r="AT3" i="2"/>
  <c r="AU50" i="2"/>
  <c r="AN42" i="2"/>
  <c r="AN4" i="2"/>
  <c r="AA53" i="2"/>
  <c r="AA28" i="2"/>
  <c r="AA24" i="2"/>
  <c r="AA27" i="2"/>
  <c r="T36" i="2"/>
  <c r="T4" i="2"/>
  <c r="N6" i="2"/>
  <c r="N3" i="2"/>
  <c r="AN27" i="2"/>
  <c r="AN21" i="2"/>
  <c r="AN3" i="2"/>
  <c r="AA9" i="2"/>
  <c r="AA43" i="2"/>
  <c r="AA18" i="2"/>
  <c r="AU29" i="2"/>
  <c r="N4" i="2"/>
  <c r="AU37" i="2"/>
  <c r="AU56" i="2"/>
  <c r="T24" i="2"/>
  <c r="N54" i="2"/>
  <c r="AG21" i="2"/>
  <c r="AG6" i="2"/>
  <c r="AN6" i="2"/>
  <c r="AN50" i="2"/>
  <c r="AT39" i="2"/>
  <c r="AT24" i="2"/>
  <c r="AT12" i="2"/>
  <c r="AT50" i="2"/>
  <c r="AU41" i="2"/>
  <c r="AA21" i="2"/>
  <c r="AA19" i="2"/>
  <c r="T19" i="2"/>
  <c r="AU30" i="2"/>
  <c r="N36" i="2"/>
  <c r="AU26" i="2"/>
  <c r="N25" i="2"/>
  <c r="N28" i="2"/>
  <c r="N24" i="2"/>
  <c r="N53" i="2"/>
  <c r="AU46" i="2"/>
  <c r="AU28" i="2"/>
  <c r="AG18" i="2"/>
  <c r="AU15" i="2"/>
  <c r="AN39" i="2"/>
  <c r="AN31" i="2"/>
  <c r="AU27" i="2"/>
  <c r="AA12" i="2"/>
  <c r="AA31" i="2"/>
  <c r="N43" i="2"/>
  <c r="N26" i="2"/>
  <c r="AU51" i="2"/>
  <c r="G51" i="2" s="1"/>
  <c r="T48" i="2"/>
  <c r="T26" i="2"/>
  <c r="AU34" i="2"/>
  <c r="T32" i="2"/>
  <c r="T6" i="2"/>
  <c r="AU45" i="2"/>
  <c r="G45" i="2" s="1"/>
  <c r="N5" i="2"/>
  <c r="N48" i="2"/>
  <c r="N31" i="2"/>
  <c r="N19" i="2"/>
  <c r="AG5" i="2"/>
  <c r="AG43" i="2"/>
  <c r="AG32" i="2"/>
  <c r="AG40" i="2"/>
  <c r="AG31" i="2"/>
  <c r="AN54" i="2"/>
  <c r="AN9" i="2"/>
  <c r="AN17" i="2"/>
  <c r="AN22" i="2"/>
  <c r="AN25" i="2"/>
  <c r="AN40" i="2"/>
  <c r="AU25" i="2"/>
  <c r="AT36" i="2"/>
  <c r="AU48" i="2"/>
  <c r="AT48" i="2"/>
  <c r="AA48" i="2"/>
  <c r="AT26" i="2"/>
  <c r="AT22" i="2"/>
  <c r="AT31" i="2"/>
  <c r="AU33" i="2"/>
  <c r="AU39" i="2"/>
  <c r="G39" i="2" s="1"/>
  <c r="AU36" i="2"/>
  <c r="G37" i="2" s="1"/>
  <c r="AA56" i="2"/>
  <c r="AA44" i="2"/>
  <c r="AA7" i="2"/>
  <c r="AA32" i="2"/>
  <c r="AA40" i="2"/>
  <c r="T3" i="2"/>
  <c r="T40" i="2"/>
  <c r="AN18" i="2"/>
  <c r="N18" i="2"/>
  <c r="AU47" i="2"/>
  <c r="G47" i="2" s="1"/>
  <c r="AN36" i="2"/>
  <c r="AN49" i="2"/>
  <c r="AN7" i="2"/>
  <c r="AN32" i="2"/>
  <c r="AN12" i="2"/>
  <c r="AU6" i="2"/>
  <c r="AN23" i="2"/>
  <c r="AU43" i="2"/>
  <c r="AT32" i="2"/>
  <c r="AU31" i="2"/>
  <c r="AU32" i="2"/>
  <c r="AT5" i="2"/>
  <c r="AT23" i="2"/>
  <c r="AT44" i="2"/>
  <c r="N44" i="2"/>
  <c r="T44" i="2"/>
  <c r="AT7" i="2"/>
  <c r="AG24" i="2"/>
  <c r="AG27" i="2"/>
  <c r="AG36" i="2"/>
  <c r="AG12" i="2"/>
  <c r="AG14" i="2"/>
  <c r="AG7" i="2"/>
  <c r="AG25" i="2"/>
  <c r="N39" i="2"/>
  <c r="AG22" i="2"/>
  <c r="AG3" i="2"/>
  <c r="AU8" i="2"/>
  <c r="AA26" i="2"/>
  <c r="AH40" i="2"/>
  <c r="AA6" i="2"/>
  <c r="AA5" i="2"/>
  <c r="AA14" i="2"/>
  <c r="AA25" i="2"/>
  <c r="AA3" i="2"/>
  <c r="AA22" i="2"/>
  <c r="AU16" i="2"/>
  <c r="G20" i="2" s="1"/>
  <c r="AH17" i="2"/>
  <c r="U17" i="2"/>
  <c r="AU7" i="2"/>
  <c r="AU9" i="2"/>
  <c r="AU14" i="2"/>
  <c r="T12" i="2"/>
  <c r="AH23" i="2"/>
  <c r="AU21" i="2"/>
  <c r="T5" i="2"/>
  <c r="AU23" i="2"/>
  <c r="AU22" i="2"/>
  <c r="T49" i="2"/>
  <c r="T17" i="2"/>
  <c r="T31" i="2"/>
  <c r="AU24" i="2"/>
  <c r="G15" i="2" s="1"/>
  <c r="AU17" i="2"/>
  <c r="AH49" i="2"/>
  <c r="AU3" i="2"/>
  <c r="G34" i="2" s="1"/>
  <c r="AU5" i="2"/>
  <c r="T7" i="2"/>
  <c r="AU4" i="2"/>
  <c r="AU11" i="2"/>
  <c r="AH7" i="2"/>
  <c r="U49" i="2"/>
  <c r="AU13" i="2"/>
  <c r="G8" i="2" s="1"/>
  <c r="AU12" i="2"/>
  <c r="G10" i="2" s="1"/>
  <c r="U23" i="2"/>
  <c r="N40" i="2"/>
  <c r="N17" i="2"/>
  <c r="N49" i="2"/>
  <c r="N7" i="2"/>
  <c r="U7" i="2"/>
  <c r="U40" i="2"/>
  <c r="N23" i="2"/>
  <c r="G30" i="2" l="1"/>
  <c r="G38" i="2"/>
  <c r="G41" i="2"/>
  <c r="G46" i="2"/>
  <c r="G33" i="2"/>
  <c r="G35" i="2"/>
  <c r="G50" i="2"/>
  <c r="G16" i="2"/>
  <c r="G11" i="2"/>
  <c r="G24" i="2"/>
  <c r="G55" i="2"/>
  <c r="G13" i="2"/>
  <c r="G29" i="2"/>
  <c r="G5" i="2"/>
  <c r="G18" i="2"/>
  <c r="G49" i="2"/>
  <c r="G31" i="2"/>
  <c r="G43" i="2"/>
  <c r="G56" i="2"/>
  <c r="G32" i="2"/>
  <c r="G42" i="2"/>
  <c r="G12" i="2"/>
  <c r="G25" i="2"/>
  <c r="G36" i="2"/>
  <c r="G26" i="2"/>
  <c r="G44" i="2"/>
  <c r="G54" i="2"/>
  <c r="G22" i="2"/>
  <c r="G19" i="2"/>
  <c r="G9" i="2"/>
  <c r="G27" i="2"/>
  <c r="G14" i="2"/>
  <c r="G6" i="2"/>
  <c r="G21" i="2"/>
  <c r="G48" i="2"/>
  <c r="G4" i="2"/>
  <c r="G28" i="2"/>
  <c r="G53" i="2"/>
  <c r="G7" i="2"/>
  <c r="G17" i="2"/>
  <c r="G23" i="2"/>
  <c r="G40" i="2"/>
  <c r="G3" i="2"/>
  <c r="H52" i="2" s="1"/>
  <c r="H51" i="2" l="1"/>
  <c r="H45" i="2"/>
  <c r="H47" i="2"/>
  <c r="H20" i="2"/>
  <c r="H16" i="2"/>
  <c r="H38" i="2"/>
  <c r="H34" i="2"/>
  <c r="H41" i="2"/>
  <c r="H37" i="2"/>
  <c r="H33" i="2"/>
  <c r="H30" i="2"/>
  <c r="H46" i="2"/>
  <c r="H15" i="2"/>
  <c r="H11" i="2"/>
  <c r="H13" i="2"/>
  <c r="H8" i="2"/>
  <c r="H10" i="2"/>
  <c r="H29" i="2"/>
  <c r="H35" i="2"/>
  <c r="H55" i="2"/>
  <c r="H42" i="2"/>
  <c r="H4" i="2"/>
  <c r="H50" i="2"/>
  <c r="H21" i="2"/>
  <c r="H28" i="2"/>
  <c r="H53" i="2"/>
  <c r="H19" i="2"/>
  <c r="H43" i="2"/>
  <c r="H54" i="2"/>
  <c r="H9" i="2"/>
  <c r="H48" i="2"/>
  <c r="H56" i="2"/>
  <c r="H18" i="2"/>
  <c r="H32" i="2"/>
  <c r="H44" i="2"/>
  <c r="H27" i="2"/>
  <c r="H24" i="2"/>
  <c r="H36" i="2"/>
  <c r="H39" i="2"/>
  <c r="H26" i="2"/>
  <c r="H6" i="2"/>
  <c r="H14" i="2"/>
  <c r="H25" i="2"/>
  <c r="H3" i="2"/>
  <c r="H22" i="2"/>
  <c r="H12" i="2"/>
  <c r="H5" i="2"/>
  <c r="H31" i="2"/>
  <c r="H17" i="2"/>
  <c r="H49" i="2"/>
  <c r="H7" i="2"/>
  <c r="H23" i="2"/>
  <c r="H40" i="2"/>
  <c r="J5" i="1" l="1"/>
  <c r="J3" i="1"/>
  <c r="N5" i="1" l="1"/>
  <c r="N3" i="1"/>
  <c r="AP4" i="1" l="1"/>
  <c r="AP7" i="1" l="1"/>
  <c r="AP9" i="1"/>
  <c r="AP12" i="1"/>
  <c r="AP3" i="1"/>
  <c r="AP11" i="1"/>
  <c r="AP5" i="1"/>
  <c r="AJ12" i="1" l="1"/>
  <c r="AJ3" i="1"/>
  <c r="P3" i="1" l="1"/>
  <c r="AU12" i="1"/>
  <c r="AT9" i="1" l="1"/>
  <c r="AT4" i="1"/>
  <c r="AT7" i="1"/>
  <c r="AN12" i="1"/>
  <c r="AU8" i="1"/>
  <c r="AN3" i="1"/>
  <c r="AT12" i="1"/>
  <c r="AT3" i="1"/>
  <c r="AU5" i="1"/>
  <c r="AU7" i="1"/>
  <c r="AU6" i="1"/>
  <c r="G8" i="1" s="1"/>
  <c r="AT11" i="1"/>
  <c r="AT5" i="1"/>
  <c r="AU4" i="1"/>
  <c r="G6" i="1" s="1"/>
  <c r="AU11" i="1"/>
  <c r="AU9" i="1"/>
  <c r="G9" i="1" s="1"/>
  <c r="AU3" i="1"/>
  <c r="AU10" i="1"/>
  <c r="G4" i="1" l="1"/>
  <c r="G7" i="1"/>
  <c r="G10" i="1"/>
  <c r="G5" i="1"/>
  <c r="G12" i="1"/>
  <c r="G3" i="1"/>
  <c r="G11" i="1"/>
  <c r="AC4" i="1" l="1"/>
  <c r="AC11" i="1" l="1"/>
  <c r="AC8" i="1"/>
  <c r="W10" i="1"/>
  <c r="W12" i="1"/>
  <c r="W6" i="1"/>
  <c r="W3" i="1"/>
  <c r="AC3" i="1"/>
  <c r="T3" i="1"/>
  <c r="AC5" i="1"/>
  <c r="W11" i="1"/>
  <c r="W5" i="1"/>
  <c r="AG4" i="1" l="1"/>
  <c r="AG8" i="1"/>
  <c r="AA10" i="1"/>
  <c r="AA12" i="1"/>
  <c r="AA6" i="1"/>
  <c r="AA3" i="1"/>
  <c r="AG11" i="1"/>
  <c r="AG3" i="1"/>
  <c r="AG5" i="1"/>
  <c r="AA11" i="1"/>
  <c r="AA5" i="1"/>
  <c r="H9" i="1" l="1"/>
  <c r="H12" i="1"/>
  <c r="H3" i="1"/>
  <c r="H11" i="1"/>
  <c r="H5" i="1"/>
  <c r="H7" i="1" l="1"/>
  <c r="H4" i="1"/>
  <c r="H8" i="1"/>
  <c r="H10" i="1"/>
  <c r="H6" i="1"/>
</calcChain>
</file>

<file path=xl/sharedStrings.xml><?xml version="1.0" encoding="utf-8"?>
<sst xmlns="http://schemas.openxmlformats.org/spreadsheetml/2006/main" count="255" uniqueCount="171">
  <si>
    <t>Name</t>
  </si>
  <si>
    <t>Vorname</t>
  </si>
  <si>
    <t>Gesamtpunkte</t>
  </si>
  <si>
    <t>Zeit LSC</t>
  </si>
  <si>
    <t>Platz LSC</t>
  </si>
  <si>
    <t>Punkte LSC</t>
  </si>
  <si>
    <t>Bonus LSC</t>
  </si>
  <si>
    <t>Gesamt LSC</t>
  </si>
  <si>
    <t>Bonuspl. LSC</t>
  </si>
  <si>
    <t>Zeit S&amp;R</t>
  </si>
  <si>
    <t>Platz S&amp;R</t>
  </si>
  <si>
    <t>Punkte S&amp;R</t>
  </si>
  <si>
    <t>Bonus S&amp;R</t>
  </si>
  <si>
    <t>Bonuspl.  S&amp;R</t>
  </si>
  <si>
    <t>Zeit LC</t>
  </si>
  <si>
    <t>Bonuspl. LC</t>
  </si>
  <si>
    <t>JG</t>
  </si>
  <si>
    <t>Lemming</t>
  </si>
  <si>
    <t>Alter</t>
  </si>
  <si>
    <t>Gesamt S&amp;R</t>
  </si>
  <si>
    <t>Swim &amp; Run</t>
  </si>
  <si>
    <t>Gesamtplatz</t>
  </si>
  <si>
    <t>Platz LC</t>
  </si>
  <si>
    <t>Punkte LC</t>
  </si>
  <si>
    <t>Bonus LC</t>
  </si>
  <si>
    <t>Gesamt LC</t>
  </si>
  <si>
    <t>Lemming Cup</t>
  </si>
  <si>
    <t>kL</t>
  </si>
  <si>
    <t>Zeit LKC</t>
  </si>
  <si>
    <t>Platz LKC</t>
  </si>
  <si>
    <t>Punkte LKC</t>
  </si>
  <si>
    <t>Bonus LKC</t>
  </si>
  <si>
    <t>Gesamt LKC</t>
  </si>
  <si>
    <t>Bonuspl. LKC</t>
  </si>
  <si>
    <t xml:space="preserve"> </t>
  </si>
  <si>
    <t>Punkte Ski</t>
  </si>
  <si>
    <t>Ski</t>
  </si>
  <si>
    <t>Triathlon</t>
  </si>
  <si>
    <t>Punkte Triathlon</t>
  </si>
  <si>
    <t>Gesamt</t>
  </si>
  <si>
    <t>Bergzeitfahren</t>
  </si>
  <si>
    <t>Zeit BZF</t>
  </si>
  <si>
    <t>Platz BZF</t>
  </si>
  <si>
    <t>Punkte BZF</t>
  </si>
  <si>
    <t>Bonus BZF</t>
  </si>
  <si>
    <t>Gesamt BZF</t>
  </si>
  <si>
    <t>Bonuspl.  BZF</t>
  </si>
  <si>
    <t>Radsport</t>
  </si>
  <si>
    <t>Punkte Radsport</t>
  </si>
  <si>
    <t>Einzelzeitfahren</t>
  </si>
  <si>
    <t>Zeit EZF</t>
  </si>
  <si>
    <t>Platz EZF</t>
  </si>
  <si>
    <t>Punkte EZF</t>
  </si>
  <si>
    <t>Bonus EZF</t>
  </si>
  <si>
    <t>Gesamt EZF</t>
  </si>
  <si>
    <t>Bonuspl.  EZF</t>
  </si>
  <si>
    <t>Charlotte</t>
  </si>
  <si>
    <t>Debertin</t>
  </si>
  <si>
    <t>Daniel</t>
  </si>
  <si>
    <t>Dirk</t>
  </si>
  <si>
    <t>Fabian</t>
  </si>
  <si>
    <t>Michael</t>
  </si>
  <si>
    <t>Keller</t>
  </si>
  <si>
    <t>Rudolf</t>
  </si>
  <si>
    <t>Wetzler</t>
  </si>
  <si>
    <t>Hansjürgen</t>
  </si>
  <si>
    <t>Frank</t>
  </si>
  <si>
    <t>Rosenkranz</t>
  </si>
  <si>
    <t>Matthias</t>
  </si>
  <si>
    <t>Weimar</t>
  </si>
  <si>
    <t>Edmund</t>
  </si>
  <si>
    <t>Pählke</t>
  </si>
  <si>
    <t>Max</t>
  </si>
  <si>
    <t>Krämer</t>
  </si>
  <si>
    <t>Christian</t>
  </si>
  <si>
    <t>Beck</t>
  </si>
  <si>
    <t>Dominik</t>
  </si>
  <si>
    <t>Hans</t>
  </si>
  <si>
    <t>Helwing</t>
  </si>
  <si>
    <t>Lüttel</t>
  </si>
  <si>
    <t>Schwedes</t>
  </si>
  <si>
    <t>Sascha</t>
  </si>
  <si>
    <t>Felix</t>
  </si>
  <si>
    <t>Hülsmann</t>
  </si>
  <si>
    <t>Nikolas</t>
  </si>
  <si>
    <t>Flöter</t>
  </si>
  <si>
    <t>Martin</t>
  </si>
  <si>
    <t>Muck</t>
  </si>
  <si>
    <t>Urban</t>
  </si>
  <si>
    <t>Yannik</t>
  </si>
  <si>
    <t>Christoph</t>
  </si>
  <si>
    <t>Haak</t>
  </si>
  <si>
    <t>Steffen</t>
  </si>
  <si>
    <t>Tobias</t>
  </si>
  <si>
    <t>Weik</t>
  </si>
  <si>
    <t>Julian</t>
  </si>
  <si>
    <t>Klassic Cup</t>
  </si>
  <si>
    <t>Biber</t>
  </si>
  <si>
    <t>Roth</t>
  </si>
  <si>
    <t>Allmenröder</t>
  </si>
  <si>
    <t xml:space="preserve">Jan  </t>
  </si>
  <si>
    <t>Maximilian</t>
  </si>
  <si>
    <t>Marion</t>
  </si>
  <si>
    <t>Back</t>
  </si>
  <si>
    <t>Holzapfel</t>
  </si>
  <si>
    <t>Hartwig</t>
  </si>
  <si>
    <t>Josl</t>
  </si>
  <si>
    <t>Rouven</t>
  </si>
  <si>
    <t>Laura</t>
  </si>
  <si>
    <t>Maud</t>
  </si>
  <si>
    <t>Thomas</t>
  </si>
  <si>
    <t>Felhauer</t>
  </si>
  <si>
    <t>Niklas</t>
  </si>
  <si>
    <t>Preunkert</t>
  </si>
  <si>
    <t>Constanze</t>
  </si>
  <si>
    <t>Philipp</t>
  </si>
  <si>
    <t>Körner</t>
  </si>
  <si>
    <t>Holger</t>
  </si>
  <si>
    <t>Möhler</t>
  </si>
  <si>
    <t>Samuel</t>
  </si>
  <si>
    <t>Beisel</t>
  </si>
  <si>
    <t>Braunbarth</t>
  </si>
  <si>
    <t>Graf</t>
  </si>
  <si>
    <t>Degel</t>
  </si>
  <si>
    <t>Müller</t>
  </si>
  <si>
    <t>Harald</t>
  </si>
  <si>
    <t>Eck</t>
  </si>
  <si>
    <t>Alexander</t>
  </si>
  <si>
    <t>Madeleine</t>
  </si>
  <si>
    <t>Lemming Skating Cup (10 km bzw. 2,06 x Zeit 5 km)</t>
  </si>
  <si>
    <t>Rode</t>
  </si>
  <si>
    <t>Andrej</t>
  </si>
  <si>
    <t xml:space="preserve">Adam </t>
  </si>
  <si>
    <t>von Zepelin</t>
  </si>
  <si>
    <t>Leon</t>
  </si>
  <si>
    <t>Fleckenstein</t>
  </si>
  <si>
    <t>Dennis</t>
  </si>
  <si>
    <t>Schöfer</t>
  </si>
  <si>
    <t>Erik</t>
  </si>
  <si>
    <t>Mann</t>
  </si>
  <si>
    <t>Chris</t>
  </si>
  <si>
    <t>Baßler</t>
  </si>
  <si>
    <t>Emmrich</t>
  </si>
  <si>
    <t>Jule</t>
  </si>
  <si>
    <t>Schmid t</t>
  </si>
  <si>
    <t>Kettenmann</t>
  </si>
  <si>
    <t>Tammy</t>
  </si>
  <si>
    <t>Ratschinski</t>
  </si>
  <si>
    <t>Albert</t>
  </si>
  <si>
    <t>Pirrung</t>
  </si>
  <si>
    <t>Jänisch-Bernstein</t>
  </si>
  <si>
    <t>Dieter</t>
  </si>
  <si>
    <t>Theresa</t>
  </si>
  <si>
    <t>Schwind</t>
  </si>
  <si>
    <t>Bettina</t>
  </si>
  <si>
    <t>Butzer</t>
  </si>
  <si>
    <t>Peter</t>
  </si>
  <si>
    <t>Schmider</t>
  </si>
  <si>
    <t>Henning</t>
  </si>
  <si>
    <t>Lulei</t>
  </si>
  <si>
    <t>Hemberle</t>
  </si>
  <si>
    <t>Kuhn</t>
  </si>
  <si>
    <t>Manuel</t>
  </si>
  <si>
    <t>O'Rorke</t>
  </si>
  <si>
    <t>Sven</t>
  </si>
  <si>
    <t>Peschl</t>
  </si>
  <si>
    <t>Arnold</t>
  </si>
  <si>
    <t>Angelo</t>
  </si>
  <si>
    <t>Engel</t>
  </si>
  <si>
    <t>Florian</t>
  </si>
  <si>
    <t>Mengel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</si>
</sst>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0]_;#;General"/>
    <numFmt numFmtId="165" formatCode="[&lt;=0]_;#;#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3" fillId="0" borderId="0" xfId="0" applyFont="1"/>
    <xf numFmtId="0" fontId="0" fillId="3" borderId="0" xfId="0" applyFill="1"/>
    <xf numFmtId="0" fontId="4" fillId="2" borderId="0" xfId="0" applyFont="1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1" fontId="3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1" fontId="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" fillId="8" borderId="0" xfId="0" applyFont="1" applyFill="1" applyAlignment="1">
      <alignment horizontal="center"/>
    </xf>
    <xf numFmtId="165" fontId="5" fillId="9" borderId="0" xfId="0" applyNumberFormat="1" applyFont="1" applyFill="1" applyAlignment="1">
      <alignment horizontal="center"/>
    </xf>
    <xf numFmtId="0" fontId="10" fillId="2" borderId="0" xfId="0" applyFont="1" applyFill="1"/>
    <xf numFmtId="165" fontId="5" fillId="9" borderId="1" xfId="0" applyNumberFormat="1" applyFont="1" applyFill="1" applyBorder="1" applyAlignment="1">
      <alignment horizontal="center"/>
    </xf>
    <xf numFmtId="0" fontId="5" fillId="0" borderId="0" xfId="0" applyFont="1"/>
    <xf numFmtId="2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2" fillId="10" borderId="0" xfId="0" applyNumberFormat="1" applyFont="1" applyFill="1" applyAlignment="1">
      <alignment horizontal="center"/>
    </xf>
    <xf numFmtId="1" fontId="6" fillId="10" borderId="0" xfId="0" applyNumberFormat="1" applyFont="1" applyFill="1" applyAlignment="1">
      <alignment horizontal="center"/>
    </xf>
    <xf numFmtId="166" fontId="2" fillId="9" borderId="0" xfId="0" applyNumberFormat="1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</cellXfs>
  <cellStyles count="2">
    <cellStyle name="Normal" xfId="0" builtinId="0"/>
    <cellStyle name="Standard 2" xfId="1" xr:uid="{00000000-0005-0000-0000-000001000000}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6" formatCode="h:mm:ss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0]_;#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[&lt;=0]_;#;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[&lt;=0]_;#;#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6" formatCode="h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[&lt;=0]_;#;#.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AT40" totalsRowShown="0" headerRowDxfId="46">
  <sortState xmlns:xlrd2="http://schemas.microsoft.com/office/spreadsheetml/2017/richdata2" ref="A3:AT40">
    <sortCondition descending="1" ref="G3:G40"/>
  </sortState>
  <tableColumns count="46">
    <tableColumn id="1" xr3:uid="{00000000-0010-0000-0000-000001000000}" name="Name" dataDxfId="45"/>
    <tableColumn id="2" xr3:uid="{00000000-0010-0000-0000-000002000000}" name="Vorname" dataDxfId="44"/>
    <tableColumn id="25" xr3:uid="{00000000-0010-0000-0000-000019000000}" name="Lemming" dataDxfId="43"/>
    <tableColumn id="3" xr3:uid="{00000000-0010-0000-0000-000003000000}" name="JG" dataDxfId="42"/>
    <tableColumn id="26" xr3:uid="{00000000-0010-0000-0000-00001A000000}" name="Alter" dataDxfId="41">
      <calculatedColumnFormula>IF(Table1[[#This Row],[JG]],2026-Table1[[#This Row],[JG]],0)</calculatedColumnFormula>
    </tableColumn>
    <tableColumn id="12" xr3:uid="{00000000-0010-0000-0000-00000C000000}" name="kL" dataDxfId="40"/>
    <tableColumn id="37" xr3:uid="{00000000-0010-0000-0000-000025000000}" name="Gesamtpunkte" dataDxfId="39">
      <calculatedColumnFormula>SUM(U3, AH3, AU3)</calculatedColumnFormula>
    </tableColumn>
    <tableColumn id="36" xr3:uid="{00000000-0010-0000-0000-000024000000}" name="Gesamtplatz" dataDxfId="38">
      <calculatedColumnFormula>_xlfn.RANK.EQ(Table1[[#This Row],[Gesamtpunkte]],Table1[Gesamtpunkte],0)</calculatedColumnFormula>
    </tableColumn>
    <tableColumn id="53" xr3:uid="{FF547A3E-5E9F-478E-8C48-E4FEB80406D6}" name="Zeit LSC" dataDxfId="37"/>
    <tableColumn id="52" xr3:uid="{6F0A24D3-16B9-41AC-84D2-891E22B4453C}" name="Platz LSC" dataDxfId="36">
      <calculatedColumnFormula>IF(Table1[[#This Row],[Zeit LSC]]&gt;0,_xlfn.RANK.EQ(Table1[[#This Row],[Punkte LSC]],Table1[Punkte LSC],0)," ")</calculatedColumnFormula>
    </tableColumn>
    <tableColumn id="51" xr3:uid="{E5454BBC-9F2D-4AC1-B745-A0D3395BE906}" name="Punkte LSC" dataDxfId="35">
      <calculatedColumnFormula>IF(Table1[[#This Row],[Zeit LSC]]&gt;0,MIN(Table1[Zeit LSC])/Table1[[#This Row],[Zeit LSC]]*1000,0)</calculatedColumnFormula>
    </tableColumn>
    <tableColumn id="50" xr3:uid="{8DBC8B14-3398-4B06-B7AE-5B021EE0F9D0}" name="Bonus LSC" dataDxfId="34">
      <calculatedColumnFormula>IF(Table1[[#This Row],[Zeit LSC]]&gt;0,SUM(IF(Table1[[#This Row],[Alter]]&gt;40,(Table1[[#This Row],[Alter]]-40)*4,0),IF(AND(Table1[[#This Row],[Alter]]&lt;20,Table1[[#This Row],[Alter]]&gt;0),(20-Table1[[#This Row],[Alter]])*10,0)),0)</calculatedColumnFormula>
    </tableColumn>
    <tableColumn id="49" xr3:uid="{181B5944-C141-4E93-A23E-3BAF8D3A0CAA}" name="Gesamt LSC" dataDxfId="33">
      <calculatedColumnFormula>(Table1[[#This Row],[Punkte LSC]]+Table1[[#This Row],[Bonus LSC]])</calculatedColumnFormula>
    </tableColumn>
    <tableColumn id="48" xr3:uid="{AEF05E5A-B8A7-4FC7-9EBD-2B727EA07A7A}" name="Bonuspl. LSC" dataDxfId="32">
      <calculatedColumnFormula>IF(Table1[[#This Row],[Zeit LSC]]&gt;0,_xlfn.RANK.EQ(Table1[[#This Row],[Gesamt LSC]],Table1[Gesamt LSC],0)," ")</calculatedColumnFormula>
    </tableColumn>
    <tableColumn id="15" xr3:uid="{00000000-0010-0000-0000-00000F000000}" name="Zeit LKC" dataDxfId="31"/>
    <tableColumn id="22" xr3:uid="{00000000-0010-0000-0000-000016000000}" name="Platz LKC" dataDxfId="30">
      <calculatedColumnFormula>IF(Table1[[#This Row],[Zeit LKC]]&gt;0,_xlfn.RANK.EQ(Table1[[#This Row],[Punkte LKC]],Table1[Punkte LKC],0)," ")</calculatedColumnFormula>
    </tableColumn>
    <tableColumn id="14" xr3:uid="{00000000-0010-0000-0000-00000E000000}" name="Punkte LKC" dataDxfId="29">
      <calculatedColumnFormula>IF(Table1[[#This Row],[Zeit LKC]]&gt;0,MIN(Table1[Zeit LKC])/Table1[[#This Row],[Zeit LKC]]*1000,0)</calculatedColumnFormula>
    </tableColumn>
    <tableColumn id="34" xr3:uid="{00000000-0010-0000-0000-000022000000}" name="Bonus LKC" dataDxfId="28">
      <calculatedColumnFormula>IF(Table1[[#This Row],[Zeit LKC]]&gt;0,SUM(IF(Table1[[#This Row],[Alter]]&gt;40,(Table1[[#This Row],[Alter]]-40)*4,0),IF(AND(Table1[[#This Row],[Alter]]&lt;20,Table1[[#This Row],[Alter]]&gt;0),(20-Table1[[#This Row],[Alter]])*10,0)),0)</calculatedColumnFormula>
    </tableColumn>
    <tableColumn id="33" xr3:uid="{00000000-0010-0000-0000-000021000000}" name="Gesamt LKC" dataDxfId="27">
      <calculatedColumnFormula>(Table1[[#This Row],[Punkte LKC]]+Table1[[#This Row],[Bonus LKC]])</calculatedColumnFormula>
    </tableColumn>
    <tableColumn id="35" xr3:uid="{00000000-0010-0000-0000-000023000000}" name="Bonuspl. LKC" dataDxfId="26">
      <calculatedColumnFormula>IF(Table1[[#This Row],[Zeit LKC]]&gt;0,_xlfn.RANK.EQ(Table1[[#This Row],[Gesamt LKC]],Table1[Gesamt LKC],0)," ")</calculatedColumnFormula>
    </tableColumn>
    <tableColumn id="16" xr3:uid="{00000000-0010-0000-0000-000010000000}" name="Punkte Ski" dataDxfId="25">
      <calculatedColumnFormula>MAX( S3,M3)</calculatedColumnFormula>
    </tableColumn>
    <tableColumn id="18" xr3:uid="{00000000-0010-0000-0000-000012000000}" name="Zeit S&amp;R" dataDxfId="24"/>
    <tableColumn id="19" xr3:uid="{00000000-0010-0000-0000-000013000000}" name="Platz S&amp;R" dataDxfId="23">
      <calculatedColumnFormula>IF(Table1[[#This Row],[Zeit S&amp;R]]&gt;0,_xlfn.RANK.EQ(Table1[[#This Row],[Punkte S&amp;R]],Table1[Punkte S&amp;R],0)," ")</calculatedColumnFormula>
    </tableColumn>
    <tableColumn id="20" xr3:uid="{00000000-0010-0000-0000-000014000000}" name="Punkte S&amp;R" dataDxfId="22">
      <calculatedColumnFormula>IF(Table1[[#This Row],[Zeit S&amp;R]]&gt;0,MIN(Table1[Zeit S&amp;R])/Table1[[#This Row],[Zeit S&amp;R]]*1000,0)</calculatedColumnFormula>
    </tableColumn>
    <tableColumn id="21" xr3:uid="{00000000-0010-0000-0000-000015000000}" name="Bonus S&amp;R" dataDxfId="21">
      <calculatedColumnFormula>IF(Table1[[#This Row],[Zeit S&amp;R]]&gt;0,SUM(IF(Table1[[#This Row],[Alter]]&gt;40,(Table1[[#This Row],[Alter]]-40)*4,0),IF(AND(Table1[[#This Row],[Alter]]&lt;20,Table1[[#This Row],[Alter]]&gt;0),(20-Table1[[#This Row],[Alter]])*10,0)),0)</calculatedColumnFormula>
    </tableColumn>
    <tableColumn id="13" xr3:uid="{00000000-0010-0000-0000-00000D000000}" name="Gesamt S&amp;R" dataDxfId="20">
      <calculatedColumnFormula>(Table1[[#This Row],[Punkte S&amp;R]]+Table1[[#This Row],[Bonus S&amp;R]])</calculatedColumnFormula>
    </tableColumn>
    <tableColumn id="23" xr3:uid="{00000000-0010-0000-0000-000017000000}" name="Bonuspl.  S&amp;R" dataDxfId="19">
      <calculatedColumnFormula>IF(Table1[[#This Row],[Zeit S&amp;R]]&gt;0,_xlfn.RANK.EQ(Table1[[#This Row],[Gesamt S&amp;R]],Table1[Gesamt S&amp;R],0)," ")</calculatedColumnFormula>
    </tableColumn>
    <tableColumn id="27" xr3:uid="{00000000-0010-0000-0000-00001B000000}" name="Zeit LC" dataDxfId="18"/>
    <tableColumn id="29" xr3:uid="{00000000-0010-0000-0000-00001D000000}" name="Platz LC" dataDxfId="17">
      <calculatedColumnFormula>IF(Table1[[#This Row],[Zeit LC]]&gt;0,_xlfn.RANK.EQ(Table1[[#This Row],[Punkte LC]],Table1[Punkte LC],0)," ")</calculatedColumnFormula>
    </tableColumn>
    <tableColumn id="31" xr3:uid="{00000000-0010-0000-0000-00001F000000}" name="Punkte LC" dataDxfId="16">
      <calculatedColumnFormula>IF(Table1[[#This Row],[Zeit LC]]&gt;0,MIN(Table1[Zeit LC])/Table1[[#This Row],[Zeit LC]]*1000,0)</calculatedColumnFormula>
    </tableColumn>
    <tableColumn id="30" xr3:uid="{00000000-0010-0000-0000-00001E000000}" name="Bonus LC" dataDxfId="15">
      <calculatedColumnFormula>IF(Table1[[#This Row],[Zeit LC]]&gt;0,SUM(IF(Table1[[#This Row],[Alter]]&gt;40,(Table1[[#This Row],[Alter]]-40)*4,0),IF(AND(Table1[[#This Row],[Alter]]&lt;20,Table1[[#This Row],[Alter]]&gt;0),(20-Table1[[#This Row],[Alter]])*10,0)),0)</calculatedColumnFormula>
    </tableColumn>
    <tableColumn id="32" xr3:uid="{00000000-0010-0000-0000-000020000000}" name="Gesamt LC" dataDxfId="14">
      <calculatedColumnFormula>(Table1[[#This Row],[Punkte LC]]+Table1[[#This Row],[Bonus LC]])</calculatedColumnFormula>
    </tableColumn>
    <tableColumn id="28" xr3:uid="{00000000-0010-0000-0000-00001C000000}" name="Bonuspl. LC" dataDxfId="13">
      <calculatedColumnFormula>IF(Table1[[#This Row],[Zeit LC]]&gt;0,_xlfn.RANK.EQ(Table1[[#This Row],[Gesamt LC]],Table1[Gesamt LC],0)," ")</calculatedColumnFormula>
    </tableColumn>
    <tableColumn id="41" xr3:uid="{00000000-0010-0000-0000-000029000000}" name="Punkte Triathlon" dataDxfId="12">
      <calculatedColumnFormula>MAX( Z3,AF3)</calculatedColumnFormula>
    </tableColumn>
    <tableColumn id="47" xr3:uid="{00000000-0010-0000-0000-00002F000000}" name="Zeit BZF" dataDxfId="11"/>
    <tableColumn id="46" xr3:uid="{00000000-0010-0000-0000-00002E000000}" name="Platz BZF" dataDxfId="10">
      <calculatedColumnFormula>IF(Table1[[#This Row],[Zeit BZF]]&gt;0,_xlfn.RANK.EQ(Table1[[#This Row],[Punkte BZF]],Table1[Punkte BZF],0)," ")</calculatedColumnFormula>
    </tableColumn>
    <tableColumn id="45" xr3:uid="{00000000-0010-0000-0000-00002D000000}" name="Punkte BZF" dataDxfId="9">
      <calculatedColumnFormula>IF(Table1[[#This Row],[Zeit BZF]]&gt;0,MIN(Table1[Zeit BZF])/Table1[[#This Row],[Zeit BZF]]*1000,0)</calculatedColumnFormula>
    </tableColumn>
    <tableColumn id="44" xr3:uid="{00000000-0010-0000-0000-00002C000000}" name="Bonus BZF" dataDxfId="8">
      <calculatedColumnFormula>IF(Table1[[#This Row],[Zeit BZF]]&gt;0,SUM(IF(Table1[[#This Row],[Alter]]&gt;40,(Table1[[#This Row],[Alter]]-40)*4,0),IF(AND(Table1[[#This Row],[Alter]]&lt;20,Table1[[#This Row],[Alter]]&gt;0),(20-Table1[[#This Row],[Alter]])*10,0)),0)</calculatedColumnFormula>
    </tableColumn>
    <tableColumn id="43" xr3:uid="{00000000-0010-0000-0000-00002B000000}" name="Gesamt BZF" dataDxfId="7">
      <calculatedColumnFormula>(Table1[[#This Row],[Punkte BZF]]+Table1[[#This Row],[Bonus BZF]])</calculatedColumnFormula>
    </tableColumn>
    <tableColumn id="42" xr3:uid="{00000000-0010-0000-0000-00002A000000}" name="Bonuspl.  BZF" dataDxfId="6">
      <calculatedColumnFormula>IF(Table1[[#This Row],[Zeit BZF]]&gt;0,_xlfn.RANK.EQ(Table1[[#This Row],[Gesamt BZF]],Table1[Gesamt BZF],0)," ")</calculatedColumnFormula>
    </tableColumn>
    <tableColumn id="40" xr3:uid="{00000000-0010-0000-0000-000028000000}" name="Zeit EZF" dataDxfId="5"/>
    <tableColumn id="39" xr3:uid="{00000000-0010-0000-0000-000027000000}" name="Platz EZF" dataDxfId="4">
      <calculatedColumnFormula>IF(Table1[[#This Row],[Zeit EZF]]&gt;0,_xlfn.RANK.EQ(Table1[[#This Row],[Punkte EZF]],Table1[Punkte EZF],0)," ")</calculatedColumnFormula>
    </tableColumn>
    <tableColumn id="38" xr3:uid="{00000000-0010-0000-0000-000026000000}" name="Punkte EZF" dataDxfId="3">
      <calculatedColumnFormula>IF(Table1[[#This Row],[Zeit EZF]]&gt;0,MIN(Table1[Zeit EZF])/Table1[[#This Row],[Zeit EZF]]*1000,0)</calculatedColumnFormula>
    </tableColumn>
    <tableColumn id="24" xr3:uid="{00000000-0010-0000-0000-000018000000}" name="Bonus EZF" dataDxfId="2">
      <calculatedColumnFormula>IF(Table1[[#This Row],[Zeit EZF]]&gt;0,SUM(IF(Table1[[#This Row],[Alter]]&gt;40,(Table1[[#This Row],[Alter]]-40)*4,0),IF(AND(Table1[[#This Row],[Alter]]&lt;20,Table1[[#This Row],[Alter]]&gt;0),(20-Table1[[#This Row],[Alter]])*10,0)),0)</calculatedColumnFormula>
    </tableColumn>
    <tableColumn id="4" xr3:uid="{00000000-0010-0000-0000-000004000000}" name="Gesamt EZF" dataDxfId="1">
      <calculatedColumnFormula>(Table1[[#This Row],[Punkte EZF]]+Table1[[#This Row],[Bonus EZF]])</calculatedColumnFormula>
    </tableColumn>
    <tableColumn id="17" xr3:uid="{00000000-0010-0000-0000-000011000000}" name="Bonuspl.  EZF" dataDxfId="0">
      <calculatedColumnFormula>IF(Table1[[#This Row],[Zeit EZF]]&gt;0,_xlfn.RANK.EQ(Table1[[#This Row],[Gesamt EZF]],Table1[Gesamt EZF],0)," ")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51C765-1E1D-46D1-962B-1298EBADC13E}" name="Table13" displayName="Table13" ref="A2:AT109" totalsRowShown="0" headerRowDxfId="93">
  <sortState xmlns:xlrd2="http://schemas.microsoft.com/office/spreadsheetml/2017/richdata2" ref="A3:AT109">
    <sortCondition ref="H3:H109"/>
  </sortState>
  <tableColumns count="46">
    <tableColumn id="1" xr3:uid="{C39CBD32-6996-4433-B90E-8C9EA33F7FCE}" name="Name" dataDxfId="92"/>
    <tableColumn id="2" xr3:uid="{00FE3CD3-5828-48F1-B226-11B4AB6351CC}" name="Vorname" dataDxfId="91"/>
    <tableColumn id="25" xr3:uid="{B1EFBC7F-FD08-403C-A533-0F35786639DB}" name="Lemming" dataDxfId="90"/>
    <tableColumn id="3" xr3:uid="{DF74E8A7-C8DE-40F0-888C-2B07FB7F459D}" name="JG" dataDxfId="89"/>
    <tableColumn id="26" xr3:uid="{27D5FC9C-7011-4A52-A51E-4EE3679704F3}" name="Alter" dataDxfId="88">
      <calculatedColumnFormula>IF(Table13[[#This Row],[JG]],2026-Table13[[#This Row],[JG]],0)</calculatedColumnFormula>
    </tableColumn>
    <tableColumn id="12" xr3:uid="{E95D42BD-C47B-44D4-A4CD-194F8CA06228}" name="kL" dataDxfId="87"/>
    <tableColumn id="37" xr3:uid="{123117DD-24EC-4F93-BF11-19272130A836}" name="Gesamtpunkte" dataDxfId="86">
      <calculatedColumnFormula>SUM(U3, AH3, AU3)</calculatedColumnFormula>
    </tableColumn>
    <tableColumn id="36" xr3:uid="{493ABC8A-DBE4-40A9-8991-8D82B59305B7}" name="Gesamtplatz" dataDxfId="85">
      <calculatedColumnFormula>_xlfn.RANK.EQ(Table13[[#This Row],[Gesamtpunkte]],Table13[Gesamtpunkte],0)</calculatedColumnFormula>
    </tableColumn>
    <tableColumn id="53" xr3:uid="{D777A4B1-139D-4213-A43A-A28DB553E528}" name="Zeit LSC" dataDxfId="84"/>
    <tableColumn id="52" xr3:uid="{07200989-673E-464F-A256-5276ABCC8141}" name="Platz LSC" dataDxfId="83">
      <calculatedColumnFormula>IF(Table13[[#This Row],[Zeit LSC]]&gt;0,_xlfn.RANK.EQ(Table13[[#This Row],[Punkte LSC]],Table13[Punkte LSC],0)," ")</calculatedColumnFormula>
    </tableColumn>
    <tableColumn id="51" xr3:uid="{4D774640-A5F4-4DF2-8A95-0E9A13002109}" name="Punkte LSC" dataDxfId="82">
      <calculatedColumnFormula>IF(Table13[[#This Row],[Zeit LSC]]&gt;0,MIN(Table13[Zeit LSC])/Table13[[#This Row],[Zeit LSC]]*1000,0)</calculatedColumnFormula>
    </tableColumn>
    <tableColumn id="50" xr3:uid="{0643362D-AE37-4898-9205-C5FD587D4282}" name="Bonus LSC" dataDxfId="81">
      <calculatedColumnFormula>IF(Table13[[#This Row],[Zeit LSC]]&gt;0,SUM(IF(Table13[[#This Row],[Alter]]&gt;40,(Table13[[#This Row],[Alter]]-40)*4,0),IF(AND(Table13[[#This Row],[Alter]]&lt;20,Table13[[#This Row],[Alter]]&gt;0),(20-Table13[[#This Row],[Alter]])*10,0)),0)</calculatedColumnFormula>
    </tableColumn>
    <tableColumn id="49" xr3:uid="{40533B82-1603-4603-ABC0-5C77C0A1A940}" name="Gesamt LSC" dataDxfId="80">
      <calculatedColumnFormula>(Table13[[#This Row],[Punkte LSC]]+Table13[[#This Row],[Bonus LSC]])</calculatedColumnFormula>
    </tableColumn>
    <tableColumn id="48" xr3:uid="{DD6EED9E-B15D-4909-AF84-B4B8455F92FF}" name="Bonuspl. LSC" dataDxfId="79">
      <calculatedColumnFormula>IF(Table13[[#This Row],[Zeit LSC]]&gt;0,_xlfn.RANK.EQ(Table13[[#This Row],[Gesamt LSC]],Table13[Gesamt LSC],0)," ")</calculatedColumnFormula>
    </tableColumn>
    <tableColumn id="15" xr3:uid="{F3608648-3407-43B6-BFEE-92BA0BA015D9}" name="Zeit LKC" dataDxfId="78"/>
    <tableColumn id="22" xr3:uid="{CBD9E415-02B4-4771-87BF-182669E48BEC}" name="Platz LKC" dataDxfId="77">
      <calculatedColumnFormula>IF(Table13[[#This Row],[Zeit LKC]]&gt;0,_xlfn.RANK.EQ(Table13[[#This Row],[Punkte LKC]],Table13[Punkte LKC],0)," ")</calculatedColumnFormula>
    </tableColumn>
    <tableColumn id="14" xr3:uid="{D20B6751-081F-4245-9ABD-ADFA366141B7}" name="Punkte LKC" dataDxfId="76">
      <calculatedColumnFormula>IF(Table13[[#This Row],[Zeit LKC]]&gt;0,MIN(Table13[Zeit LKC])/Table13[[#This Row],[Zeit LKC]]*1000,0)</calculatedColumnFormula>
    </tableColumn>
    <tableColumn id="34" xr3:uid="{251622F6-01E1-4692-9674-52868B0CD94D}" name="Bonus LKC" dataDxfId="75">
      <calculatedColumnFormula>IF(Table13[[#This Row],[Zeit LKC]]&gt;0,SUM(IF(Table13[[#This Row],[Alter]]&gt;40,(Table13[[#This Row],[Alter]]-40)*4,0),IF(AND(Table13[[#This Row],[Alter]]&lt;20,Table13[[#This Row],[Alter]]&gt;0),(20-Table13[[#This Row],[Alter]])*10,0)),0)</calculatedColumnFormula>
    </tableColumn>
    <tableColumn id="33" xr3:uid="{B20DE94B-CF2D-4E1D-8191-6354E5DF3AD3}" name="Gesamt LKC" dataDxfId="74">
      <calculatedColumnFormula>(Table13[[#This Row],[Punkte LKC]]+Table13[[#This Row],[Bonus LKC]])</calculatedColumnFormula>
    </tableColumn>
    <tableColumn id="35" xr3:uid="{CE71AA1A-4011-42C8-AEC0-93EBB20EE8BC}" name="Bonuspl. LKC" dataDxfId="73">
      <calculatedColumnFormula>IF(Table13[[#This Row],[Zeit LKC]]&gt;0,_xlfn.RANK.EQ(Table13[[#This Row],[Gesamt LKC]],Table13[Gesamt LKC],0)," ")</calculatedColumnFormula>
    </tableColumn>
    <tableColumn id="16" xr3:uid="{F6B4B39C-8598-4854-8D1D-A9C8AECABF4E}" name="Punkte Ski" dataDxfId="72">
      <calculatedColumnFormula>MAX( S3,M3)</calculatedColumnFormula>
    </tableColumn>
    <tableColumn id="18" xr3:uid="{B2E13CD8-9B32-428E-A432-304C6FD32D5B}" name="Zeit S&amp;R" dataDxfId="71"/>
    <tableColumn id="19" xr3:uid="{95AB0379-65A5-49F9-B6EE-D68A70D62BA8}" name="Platz S&amp;R" dataDxfId="70">
      <calculatedColumnFormula>IF(Table13[[#This Row],[Zeit S&amp;R]]&gt;0,_xlfn.RANK.EQ(Table13[[#This Row],[Punkte S&amp;R]],Table13[Punkte S&amp;R],0)," ")</calculatedColumnFormula>
    </tableColumn>
    <tableColumn id="20" xr3:uid="{5B9EF6AB-E2BB-437B-A315-D55ADA598DDA}" name="Punkte S&amp;R" dataDxfId="69">
      <calculatedColumnFormula>IF(Table13[[#This Row],[Zeit S&amp;R]]&gt;0,MIN(Table13[Zeit S&amp;R])/Table13[[#This Row],[Zeit S&amp;R]]*1000,0)</calculatedColumnFormula>
    </tableColumn>
    <tableColumn id="21" xr3:uid="{6718996B-CE4A-40E9-9001-6EB546C5BE9A}" name="Bonus S&amp;R" dataDxfId="68">
      <calculatedColumnFormula>IF(Table13[[#This Row],[Zeit S&amp;R]]&gt;0,SUM(IF(Table13[[#This Row],[Alter]]&gt;40,(Table13[[#This Row],[Alter]]-40)*4,0),IF(AND(Table13[[#This Row],[Alter]]&lt;20,Table13[[#This Row],[Alter]]&gt;0),(20-Table13[[#This Row],[Alter]])*10,0)),0)</calculatedColumnFormula>
    </tableColumn>
    <tableColumn id="13" xr3:uid="{D12DF116-2C03-4104-AA8A-5B0176EABB82}" name="Gesamt S&amp;R" dataDxfId="67">
      <calculatedColumnFormula>(Table13[[#This Row],[Punkte S&amp;R]]+Table13[[#This Row],[Bonus S&amp;R]])</calculatedColumnFormula>
    </tableColumn>
    <tableColumn id="23" xr3:uid="{A2BE7850-11E5-4C33-8E18-32B057C66454}" name="Bonuspl.  S&amp;R" dataDxfId="66">
      <calculatedColumnFormula>IF(Table13[[#This Row],[Zeit S&amp;R]]&gt;0,_xlfn.RANK.EQ(Table13[[#This Row],[Gesamt S&amp;R]],Table13[Gesamt S&amp;R],0)," ")</calculatedColumnFormula>
    </tableColumn>
    <tableColumn id="27" xr3:uid="{18047CC7-6432-453E-96DA-297494330085}" name="Zeit LC" dataDxfId="65"/>
    <tableColumn id="29" xr3:uid="{53240DCB-31E8-422E-B6BF-B7914682E40B}" name="Platz LC" dataDxfId="64">
      <calculatedColumnFormula>IF(Table13[[#This Row],[Zeit LC]]&gt;0,_xlfn.RANK.EQ(Table13[[#This Row],[Punkte LC]],Table13[Punkte LC],0)," ")</calculatedColumnFormula>
    </tableColumn>
    <tableColumn id="31" xr3:uid="{B55B7CC2-5FD3-4A63-8E43-8781DE46E1C9}" name="Punkte LC" dataDxfId="63">
      <calculatedColumnFormula>IF(Table13[[#This Row],[Zeit LC]]&gt;0,MIN(Table13[Zeit LC])/Table13[[#This Row],[Zeit LC]]*1000,0)</calculatedColumnFormula>
    </tableColumn>
    <tableColumn id="30" xr3:uid="{1A1653B8-AD6D-42CB-BD28-4CE28E8FA138}" name="Bonus LC" dataDxfId="62">
      <calculatedColumnFormula>IF(Table13[[#This Row],[Zeit LC]]&gt;0,SUM(IF(Table13[[#This Row],[Alter]]&gt;40,(Table13[[#This Row],[Alter]]-40)*4,0),IF(AND(Table13[[#This Row],[Alter]]&lt;20,Table13[[#This Row],[Alter]]&gt;0),(20-Table13[[#This Row],[Alter]])*10,0)),0)</calculatedColumnFormula>
    </tableColumn>
    <tableColumn id="32" xr3:uid="{E488C9DB-CA13-42C1-8CF1-4F80525CA36D}" name="Gesamt LC" dataDxfId="61">
      <calculatedColumnFormula>(Table13[[#This Row],[Punkte LC]]+Table13[[#This Row],[Bonus LC]])</calculatedColumnFormula>
    </tableColumn>
    <tableColumn id="28" xr3:uid="{F8F1E881-6487-4C95-9404-4D2145414239}" name="Bonuspl. LC" dataDxfId="60">
      <calculatedColumnFormula>IF(Table13[[#This Row],[Zeit LC]]&gt;0,_xlfn.RANK.EQ(Table13[[#This Row],[Gesamt LC]],Table13[Gesamt LC],0)," ")</calculatedColumnFormula>
    </tableColumn>
    <tableColumn id="41" xr3:uid="{737E96B1-42BC-4B86-BBC6-3370E4DF6CEC}" name="Punkte Triathlon" dataDxfId="59">
      <calculatedColumnFormula>MAX( Z3,AF3)</calculatedColumnFormula>
    </tableColumn>
    <tableColumn id="47" xr3:uid="{2A87E957-05BF-466A-A722-6C21D31097F4}" name="Zeit BZF" dataDxfId="58"/>
    <tableColumn id="46" xr3:uid="{44011D30-9D3A-4899-A3E4-B6E8CC468EF4}" name="Platz BZF" dataDxfId="57">
      <calculatedColumnFormula>IF(Table13[[#This Row],[Zeit BZF]]&gt;0,_xlfn.RANK.EQ(Table13[[#This Row],[Punkte BZF]],Table13[Punkte BZF],0)," ")</calculatedColumnFormula>
    </tableColumn>
    <tableColumn id="45" xr3:uid="{1212E4E5-2F53-4A68-951D-65EDE2045EEF}" name="Punkte BZF" dataDxfId="56">
      <calculatedColumnFormula>IF(Table13[[#This Row],[Zeit BZF]]&gt;0,MIN(Table13[Zeit BZF])/Table13[[#This Row],[Zeit BZF]]*1000,0)</calculatedColumnFormula>
    </tableColumn>
    <tableColumn id="44" xr3:uid="{C3A836EF-2C99-4D0D-BF55-D1AB153EEECC}" name="Bonus BZF" dataDxfId="55">
      <calculatedColumnFormula>IF(Table13[[#This Row],[Zeit BZF]]&gt;0,SUM(IF(Table13[[#This Row],[Alter]]&gt;40,(Table13[[#This Row],[Alter]]-40)*4,0),IF(AND(Table13[[#This Row],[Alter]]&lt;20,Table13[[#This Row],[Alter]]&gt;0),(20-Table13[[#This Row],[Alter]])*10,0)),0)</calculatedColumnFormula>
    </tableColumn>
    <tableColumn id="43" xr3:uid="{FCD417A8-78EB-46E0-9D3E-A277CF9FF04F}" name="Gesamt BZF" dataDxfId="54">
      <calculatedColumnFormula>(Table13[[#This Row],[Punkte BZF]]+Table13[[#This Row],[Bonus BZF]])</calculatedColumnFormula>
    </tableColumn>
    <tableColumn id="42" xr3:uid="{DE338A24-A7E0-4EA9-8065-9E96C20A3BA0}" name="Bonuspl.  BZF" dataDxfId="53">
      <calculatedColumnFormula>IF(Table13[[#This Row],[Zeit BZF]]&gt;0,_xlfn.RANK.EQ(Table13[[#This Row],[Gesamt BZF]],Table13[Gesamt BZF],0)," ")</calculatedColumnFormula>
    </tableColumn>
    <tableColumn id="40" xr3:uid="{B8D771BA-D2FA-44BB-8EA7-331F8C07B421}" name="Zeit EZF" dataDxfId="52"/>
    <tableColumn id="39" xr3:uid="{92B631E6-FE47-4B5F-A3E6-A6DB4BED3830}" name="Platz EZF" dataDxfId="51">
      <calculatedColumnFormula>IF(Table13[[#This Row],[Zeit EZF]]&gt;0,_xlfn.RANK.EQ(Table13[[#This Row],[Punkte EZF]],Table13[Punkte EZF],0)," ")</calculatedColumnFormula>
    </tableColumn>
    <tableColumn id="38" xr3:uid="{1427CCD9-8CB3-44A4-B576-90D067F956EC}" name="Punkte EZF" dataDxfId="50">
      <calculatedColumnFormula>IF(Table13[[#This Row],[Zeit EZF]]&gt;0,MIN(Table13[Zeit EZF])/Table13[[#This Row],[Zeit EZF]]*1000,0)</calculatedColumnFormula>
    </tableColumn>
    <tableColumn id="24" xr3:uid="{C8C6435F-4A5E-4E9C-B6DD-6593D5F2952B}" name="Bonus EZF" dataDxfId="49">
      <calculatedColumnFormula>IF(Table13[[#This Row],[Zeit EZF]]&gt;0,SUM(IF(Table13[[#This Row],[Alter]]&gt;40,(Table13[[#This Row],[Alter]]-40)*4,0),IF(AND(Table13[[#This Row],[Alter]]&lt;20,Table13[[#This Row],[Alter]]&gt;0),(20-Table13[[#This Row],[Alter]])*10,0)),0)</calculatedColumnFormula>
    </tableColumn>
    <tableColumn id="4" xr3:uid="{E288C0A9-8252-414A-91E1-4F251FA5B24F}" name="Gesamt EZF" dataDxfId="48">
      <calculatedColumnFormula>(Table13[[#This Row],[Punkte EZF]]+Table13[[#This Row],[Bonus EZF]])</calculatedColumnFormula>
    </tableColumn>
    <tableColumn id="17" xr3:uid="{D3BF4787-7FFC-4AA5-819A-C2EF96CE2DE2}" name="Bonuspl.  EZF" dataDxfId="47">
      <calculatedColumnFormula>IF(Table13[[#This Row],[Zeit EZF]]&gt;0,_xlfn.RANK.EQ(Table13[[#This Row],[Gesamt EZF]],Table13[Gesamt EZF],0)," ")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0"/>
  <sheetViews>
    <sheetView tabSelected="1" zoomScale="85" zoomScaleNormal="85" workbookViewId="0">
      <pane xSplit="1" topLeftCell="B1" activePane="topRight" state="frozen"/>
      <selection pane="topRight" activeCell="B38" sqref="B38"/>
    </sheetView>
  </sheetViews>
  <sheetFormatPr defaultColWidth="9.140625" defaultRowHeight="15" x14ac:dyDescent="0.25"/>
  <cols>
    <col min="1" max="1" width="11.85546875" customWidth="1"/>
    <col min="2" max="2" width="10" bestFit="1" customWidth="1"/>
    <col min="3" max="3" width="10" hidden="1" customWidth="1"/>
    <col min="4" max="4" width="5" bestFit="1" customWidth="1"/>
    <col min="5" max="5" width="5" customWidth="1"/>
    <col min="6" max="6" width="2.5703125" customWidth="1"/>
    <col min="7" max="7" width="11.42578125" bestFit="1" customWidth="1"/>
    <col min="8" max="8" width="12.7109375" customWidth="1"/>
    <col min="9" max="9" width="8.28515625" customWidth="1"/>
    <col min="10" max="10" width="7.28515625" customWidth="1"/>
    <col min="11" max="11" width="8.7109375" customWidth="1"/>
    <col min="12" max="12" width="8.140625" customWidth="1"/>
    <col min="13" max="13" width="11.7109375" customWidth="1"/>
    <col min="14" max="14" width="9.85546875" customWidth="1"/>
    <col min="15" max="15" width="7.85546875" customWidth="1"/>
    <col min="16" max="16" width="7.28515625" customWidth="1"/>
    <col min="17" max="19" width="9" customWidth="1"/>
    <col min="20" max="20" width="10.28515625" customWidth="1"/>
    <col min="21" max="21" width="8.28515625" customWidth="1"/>
    <col min="22" max="22" width="8" customWidth="1"/>
    <col min="23" max="23" width="9.140625" customWidth="1"/>
    <col min="24" max="24" width="10.5703125" customWidth="1"/>
    <col min="25" max="25" width="10" customWidth="1"/>
    <col min="26" max="27" width="11.28515625" customWidth="1"/>
    <col min="28" max="28" width="8.5703125" customWidth="1"/>
    <col min="29" max="29" width="8.7109375" customWidth="1"/>
    <col min="30" max="30" width="7.85546875" customWidth="1"/>
    <col min="31" max="31" width="9.85546875" customWidth="1"/>
    <col min="32" max="32" width="8.5703125" customWidth="1"/>
    <col min="33" max="34" width="9" customWidth="1"/>
    <col min="35" max="35" width="8" customWidth="1"/>
    <col min="36" max="36" width="9.140625" customWidth="1"/>
    <col min="37" max="37" width="10.5703125" customWidth="1"/>
    <col min="38" max="38" width="10" customWidth="1"/>
    <col min="39" max="40" width="11.28515625" customWidth="1"/>
    <col min="41" max="41" width="8" customWidth="1"/>
    <col min="42" max="42" width="9.140625" customWidth="1"/>
    <col min="43" max="43" width="10.5703125" customWidth="1"/>
    <col min="44" max="44" width="10" customWidth="1"/>
    <col min="45" max="46" width="11.28515625" customWidth="1"/>
    <col min="47" max="47" width="9" customWidth="1"/>
  </cols>
  <sheetData>
    <row r="1" spans="1:47" x14ac:dyDescent="0.25">
      <c r="A1" s="2"/>
      <c r="B1" s="2"/>
      <c r="C1" s="2"/>
      <c r="D1" s="2"/>
      <c r="E1" s="2"/>
      <c r="F1" s="2"/>
      <c r="G1" s="28" t="s">
        <v>39</v>
      </c>
      <c r="H1" s="29"/>
      <c r="I1" s="30" t="s">
        <v>129</v>
      </c>
      <c r="J1" s="30"/>
      <c r="K1" s="30"/>
      <c r="L1" s="30"/>
      <c r="M1" s="30"/>
      <c r="N1" s="30"/>
      <c r="O1" s="31" t="s">
        <v>96</v>
      </c>
      <c r="P1" s="31"/>
      <c r="Q1" s="31"/>
      <c r="R1" s="31"/>
      <c r="S1" s="31"/>
      <c r="T1" s="31"/>
      <c r="U1" s="14" t="s">
        <v>36</v>
      </c>
      <c r="V1" s="32" t="s">
        <v>20</v>
      </c>
      <c r="W1" s="32"/>
      <c r="X1" s="32"/>
      <c r="Y1" s="32"/>
      <c r="Z1" s="32"/>
      <c r="AA1" s="32"/>
      <c r="AB1" s="33" t="s">
        <v>26</v>
      </c>
      <c r="AC1" s="33"/>
      <c r="AD1" s="33"/>
      <c r="AE1" s="33"/>
      <c r="AF1" s="33"/>
      <c r="AG1" s="33"/>
      <c r="AH1" s="14" t="s">
        <v>37</v>
      </c>
      <c r="AI1" s="34" t="s">
        <v>40</v>
      </c>
      <c r="AJ1" s="34"/>
      <c r="AK1" s="34"/>
      <c r="AL1" s="34"/>
      <c r="AM1" s="34"/>
      <c r="AN1" s="34"/>
      <c r="AO1" s="27" t="s">
        <v>49</v>
      </c>
      <c r="AP1" s="27"/>
      <c r="AQ1" s="27"/>
      <c r="AR1" s="27"/>
      <c r="AS1" s="27"/>
      <c r="AT1" s="27"/>
      <c r="AU1" s="14" t="s">
        <v>47</v>
      </c>
    </row>
    <row r="2" spans="1:47" x14ac:dyDescent="0.25">
      <c r="A2" s="3" t="s">
        <v>0</v>
      </c>
      <c r="B2" s="3" t="s">
        <v>1</v>
      </c>
      <c r="C2" s="3" t="s">
        <v>17</v>
      </c>
      <c r="D2" s="3" t="s">
        <v>16</v>
      </c>
      <c r="E2" s="3" t="s">
        <v>18</v>
      </c>
      <c r="F2" s="3" t="s">
        <v>27</v>
      </c>
      <c r="G2" s="3" t="s">
        <v>2</v>
      </c>
      <c r="H2" s="3" t="s">
        <v>21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28</v>
      </c>
      <c r="P2" s="3" t="s">
        <v>29</v>
      </c>
      <c r="Q2" s="3" t="s">
        <v>30</v>
      </c>
      <c r="R2" s="3" t="s">
        <v>31</v>
      </c>
      <c r="S2" s="3" t="s">
        <v>32</v>
      </c>
      <c r="T2" s="3" t="s">
        <v>33</v>
      </c>
      <c r="U2" s="3" t="s">
        <v>35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19</v>
      </c>
      <c r="AA2" s="3" t="s">
        <v>13</v>
      </c>
      <c r="AB2" s="3" t="s">
        <v>14</v>
      </c>
      <c r="AC2" s="3" t="s">
        <v>22</v>
      </c>
      <c r="AD2" s="3" t="s">
        <v>23</v>
      </c>
      <c r="AE2" s="3" t="s">
        <v>24</v>
      </c>
      <c r="AF2" s="3" t="s">
        <v>25</v>
      </c>
      <c r="AG2" s="3" t="s">
        <v>15</v>
      </c>
      <c r="AH2" s="3" t="s">
        <v>38</v>
      </c>
      <c r="AI2" s="3" t="s">
        <v>41</v>
      </c>
      <c r="AJ2" s="3" t="s">
        <v>42</v>
      </c>
      <c r="AK2" s="3" t="s">
        <v>43</v>
      </c>
      <c r="AL2" s="3" t="s">
        <v>44</v>
      </c>
      <c r="AM2" s="3" t="s">
        <v>45</v>
      </c>
      <c r="AN2" s="3" t="s">
        <v>46</v>
      </c>
      <c r="AO2" s="3" t="s">
        <v>50</v>
      </c>
      <c r="AP2" s="3" t="s">
        <v>51</v>
      </c>
      <c r="AQ2" s="3" t="s">
        <v>52</v>
      </c>
      <c r="AR2" s="3" t="s">
        <v>53</v>
      </c>
      <c r="AS2" s="3" t="s">
        <v>54</v>
      </c>
      <c r="AT2" s="3" t="s">
        <v>55</v>
      </c>
      <c r="AU2" s="16" t="s">
        <v>48</v>
      </c>
    </row>
    <row r="3" spans="1:47" x14ac:dyDescent="0.25">
      <c r="A3" s="1" t="s">
        <v>80</v>
      </c>
      <c r="B3" s="1" t="s">
        <v>128</v>
      </c>
      <c r="C3" s="5"/>
      <c r="D3" s="5">
        <v>1986</v>
      </c>
      <c r="E3" s="5">
        <f>IF(Table1[[#This Row],[JG]],2026-Table1[[#This Row],[JG]],0)</f>
        <v>40</v>
      </c>
      <c r="F3" s="5"/>
      <c r="G3" s="26">
        <f t="shared" ref="G3:G40" si="0">SUM(U3, AH3, AU3)</f>
        <v>2604.2459443220509</v>
      </c>
      <c r="H3" s="24">
        <f>_xlfn.RANK.EQ(Table1[[#This Row],[Gesamtpunkte]],Table1[Gesamtpunkte],0)</f>
        <v>1</v>
      </c>
      <c r="I3" s="8">
        <v>5.7789351851851849E-2</v>
      </c>
      <c r="J3" s="4">
        <f>IF(Table1[[#This Row],[Zeit LSC]]&gt;0,_xlfn.RANK.EQ(Table1[[#This Row],[Punkte LSC]],Table1[Punkte LSC],0)," ")</f>
        <v>2</v>
      </c>
      <c r="K3" s="6">
        <f>IF(Table1[[#This Row],[Zeit LSC]]&gt;0,MIN(Table1[Zeit LSC])/Table1[[#This Row],[Zeit LSC]]*1000,0)</f>
        <v>604.24594432205095</v>
      </c>
      <c r="L3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3" s="6">
        <f>(Table1[[#This Row],[Punkte LSC]]+Table1[[#This Row],[Bonus LSC]])</f>
        <v>604.24594432205095</v>
      </c>
      <c r="N3" s="12">
        <f>IF(Table1[[#This Row],[Zeit LSC]]&gt;0,_xlfn.RANK.EQ(Table1[[#This Row],[Gesamt LSC]],Table1[Gesamt LSC],0)," ")</f>
        <v>2</v>
      </c>
      <c r="O3" s="11"/>
      <c r="P3" s="5" t="str">
        <f>IF(Table1[[#This Row],[Zeit LKC]]&gt;0,_xlfn.RANK.EQ(Table1[[#This Row],[Punkte LKC]],Table1[Punkte LKC],0)," ")</f>
        <v xml:space="preserve"> </v>
      </c>
      <c r="Q3" s="6">
        <f>IF(Table1[[#This Row],[Zeit LKC]]&gt;0,MIN(Table1[Zeit LKC])/Table1[[#This Row],[Zeit LKC]]*1000,0)</f>
        <v>0</v>
      </c>
      <c r="R3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3" s="9">
        <f>(Table1[[#This Row],[Punkte LKC]]+Table1[[#This Row],[Bonus LKC]])</f>
        <v>0</v>
      </c>
      <c r="T3" s="13" t="str">
        <f>IF(Table1[[#This Row],[Zeit LKC]]&gt;0,_xlfn.RANK.EQ(Table1[[#This Row],[Gesamt LKC]],Table1[Gesamt LKC],0)," ")</f>
        <v xml:space="preserve"> </v>
      </c>
      <c r="U3" s="15">
        <f t="shared" ref="U3:U40" si="1">MAX( S3,M3)</f>
        <v>604.24594432205095</v>
      </c>
      <c r="V3" s="8"/>
      <c r="W3" s="5" t="str">
        <f>IF(Table1[[#This Row],[Zeit S&amp;R]]&gt;0,_xlfn.RANK.EQ(Table1[[#This Row],[Punkte S&amp;R]],Table1[Punkte S&amp;R],0)," ")</f>
        <v xml:space="preserve"> </v>
      </c>
      <c r="X3" s="9">
        <f>IF(Table1[[#This Row],[Zeit S&amp;R]]&gt;0,MIN(Table1[Zeit S&amp;R])/Table1[[#This Row],[Zeit S&amp;R]]*1000,0)</f>
        <v>0</v>
      </c>
      <c r="Y3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3" s="9">
        <f>(Table1[[#This Row],[Punkte S&amp;R]]+Table1[[#This Row],[Bonus S&amp;R]])</f>
        <v>0</v>
      </c>
      <c r="AA3" s="13" t="str">
        <f>IF(Table1[[#This Row],[Zeit S&amp;R]]&gt;0,_xlfn.RANK.EQ(Table1[[#This Row],[Gesamt S&amp;R]],Table1[Gesamt S&amp;R],0)," ")</f>
        <v xml:space="preserve"> </v>
      </c>
      <c r="AB3" s="11">
        <v>3.8865740740740742E-2</v>
      </c>
      <c r="AC3" s="13">
        <f>IF(Table1[[#This Row],[Zeit LC]]&gt;0,_xlfn.RANK.EQ(Table1[[#This Row],[Punkte LC]],Table1[Punkte LC],0)," ")</f>
        <v>1</v>
      </c>
      <c r="AD3" s="9">
        <f>IF(Table1[[#This Row],[Zeit LC]]&gt;0,MIN(Table1[Zeit LC])/Table1[[#This Row],[Zeit LC]]*1000,0)</f>
        <v>1000</v>
      </c>
      <c r="AE3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3" s="9">
        <f>(Table1[[#This Row],[Punkte LC]]+Table1[[#This Row],[Bonus LC]])</f>
        <v>1000</v>
      </c>
      <c r="AG3" s="13">
        <f>IF(Table1[[#This Row],[Zeit LC]]&gt;0,_xlfn.RANK.EQ(Table1[[#This Row],[Gesamt LC]],Table1[Gesamt LC],0)," ")</f>
        <v>1</v>
      </c>
      <c r="AH3" s="15">
        <f t="shared" ref="AH3:AH40" si="2">MAX( Z3,AF3)</f>
        <v>1000</v>
      </c>
      <c r="AI3" s="11">
        <v>3.2986111111111112E-2</v>
      </c>
      <c r="AJ3" s="5">
        <f>IF(Table1[[#This Row],[Zeit BZF]]&gt;0,_xlfn.RANK.EQ(Table1[[#This Row],[Punkte BZF]],Table1[Punkte BZF],0)," ")</f>
        <v>1</v>
      </c>
      <c r="AK3" s="9">
        <f>IF(Table1[[#This Row],[Zeit BZF]]&gt;0,MIN(Table1[Zeit BZF])/Table1[[#This Row],[Zeit BZF]]*1000,0)</f>
        <v>1000</v>
      </c>
      <c r="AL3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3" s="9">
        <f>(Table1[[#This Row],[Punkte BZF]]+Table1[[#This Row],[Bonus BZF]])</f>
        <v>1000</v>
      </c>
      <c r="AN3" s="13">
        <f>IF(Table1[[#This Row],[Zeit BZF]]&gt;0,_xlfn.RANK.EQ(Table1[[#This Row],[Gesamt BZF]],Table1[Gesamt BZF],0)," ")</f>
        <v>1</v>
      </c>
      <c r="AO3" s="11">
        <v>2.5092592592592593E-2</v>
      </c>
      <c r="AP3" s="5">
        <f>IF(Table1[[#This Row],[Zeit EZF]]&gt;0,_xlfn.RANK.EQ(Table1[[#This Row],[Punkte EZF]],Table1[Punkte EZF],0)," ")</f>
        <v>2</v>
      </c>
      <c r="AQ3" s="9">
        <f>IF(Table1[[#This Row],[Zeit EZF]]&gt;0,MIN(Table1[Zeit EZF])/Table1[[#This Row],[Zeit EZF]]*1000,0)</f>
        <v>863.00738007380073</v>
      </c>
      <c r="AR3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3" s="9">
        <f>(Table1[[#This Row],[Punkte EZF]]+Table1[[#This Row],[Bonus EZF]])</f>
        <v>863.00738007380073</v>
      </c>
      <c r="AT3" s="13">
        <f>IF(Table1[[#This Row],[Zeit EZF]]&gt;0,_xlfn.RANK.EQ(Table1[[#This Row],[Gesamt EZF]],Table1[Gesamt EZF],0)," ")</f>
        <v>3</v>
      </c>
      <c r="AU3" s="17">
        <f>MAX( AM3,AS3)</f>
        <v>1000</v>
      </c>
    </row>
    <row r="4" spans="1:47" x14ac:dyDescent="0.25">
      <c r="A4" s="1" t="s">
        <v>145</v>
      </c>
      <c r="B4" s="1" t="s">
        <v>146</v>
      </c>
      <c r="C4" s="5"/>
      <c r="D4" s="5">
        <v>2004</v>
      </c>
      <c r="E4" s="5">
        <f>IF(Table1[[#This Row],[JG]],2026-Table1[[#This Row],[JG]],0)</f>
        <v>22</v>
      </c>
      <c r="F4" s="5"/>
      <c r="G4" s="26">
        <f t="shared" si="0"/>
        <v>1743.7103649812775</v>
      </c>
      <c r="H4" s="24">
        <f>_xlfn.RANK.EQ(Table1[[#This Row],[Gesamtpunkte]],Table1[Gesamtpunkte],0)</f>
        <v>2</v>
      </c>
      <c r="I4" s="19"/>
      <c r="J4" s="20" t="str">
        <f>IF(Table1[[#This Row],[Zeit LSC]]&gt;0,_xlfn.RANK.EQ(Table1[[#This Row],[Punkte LSC]],Table1[Punkte LSC],0)," ")</f>
        <v xml:space="preserve"> </v>
      </c>
      <c r="K4" s="21">
        <f>IF(Table1[[#This Row],[Zeit LSC]]&gt;0,MIN(Table1[Zeit LSC])/Table1[[#This Row],[Zeit LSC]]*1000,0)</f>
        <v>0</v>
      </c>
      <c r="L4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4" s="21">
        <f>(Table1[[#This Row],[Punkte LSC]]+Table1[[#This Row],[Bonus LSC]])</f>
        <v>0</v>
      </c>
      <c r="N4" s="23" t="str">
        <f>IF(Table1[[#This Row],[Zeit LSC]]&gt;0,_xlfn.RANK.EQ(Table1[[#This Row],[Gesamt LSC]],Table1[Gesamt LSC],0)," ")</f>
        <v xml:space="preserve"> </v>
      </c>
      <c r="O4" s="11"/>
      <c r="P4" s="5" t="str">
        <f>IF(Table1[[#This Row],[Zeit LKC]]&gt;0,_xlfn.RANK.EQ(Table1[[#This Row],[Punkte LKC]],Table1[Punkte LKC],0)," ")</f>
        <v xml:space="preserve"> </v>
      </c>
      <c r="Q4" s="6">
        <f>IF(Table1[[#This Row],[Zeit LKC]]&gt;0,MIN(Table1[Zeit LKC])/Table1[[#This Row],[Zeit LKC]]*1000,0)</f>
        <v>0</v>
      </c>
      <c r="R4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4" s="9">
        <f>(Table1[[#This Row],[Punkte LKC]]+Table1[[#This Row],[Bonus LKC]])</f>
        <v>0</v>
      </c>
      <c r="T4" s="13" t="str">
        <f>IF(Table1[[#This Row],[Zeit LKC]]&gt;0,_xlfn.RANK.EQ(Table1[[#This Row],[Gesamt LKC]],Table1[Gesamt LKC],0)," ")</f>
        <v xml:space="preserve"> </v>
      </c>
      <c r="U4" s="15">
        <f t="shared" si="1"/>
        <v>0</v>
      </c>
      <c r="V4" s="11"/>
      <c r="W4" s="5" t="str">
        <f>IF(Table1[[#This Row],[Zeit S&amp;R]]&gt;0,_xlfn.RANK.EQ(Table1[[#This Row],[Punkte S&amp;R]],Table1[Punkte S&amp;R],0)," ")</f>
        <v xml:space="preserve"> </v>
      </c>
      <c r="X4" s="9">
        <f>IF(Table1[[#This Row],[Zeit S&amp;R]]&gt;0,MIN(Table1[Zeit S&amp;R])/Table1[[#This Row],[Zeit S&amp;R]]*1000,0)</f>
        <v>0</v>
      </c>
      <c r="Y4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4" s="9">
        <f>(Table1[[#This Row],[Punkte S&amp;R]]+Table1[[#This Row],[Bonus S&amp;R]])</f>
        <v>0</v>
      </c>
      <c r="AA4" s="13" t="str">
        <f>IF(Table1[[#This Row],[Zeit S&amp;R]]&gt;0,_xlfn.RANK.EQ(Table1[[#This Row],[Gesamt S&amp;R]],Table1[Gesamt S&amp;R],0)," ")</f>
        <v xml:space="preserve"> </v>
      </c>
      <c r="AB4" s="11">
        <v>4.283564814814815E-2</v>
      </c>
      <c r="AC4" s="13">
        <f>IF(Table1[[#This Row],[Zeit LC]]&gt;0,_xlfn.RANK.EQ(Table1[[#This Row],[Punkte LC]],Table1[Punkte LC],0)," ")</f>
        <v>3</v>
      </c>
      <c r="AD4" s="9">
        <f>IF(Table1[[#This Row],[Zeit LC]]&gt;0,MIN(Table1[Zeit LC])/Table1[[#This Row],[Zeit LC]]*1000,0)</f>
        <v>907.3223453120778</v>
      </c>
      <c r="AE4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4" s="9">
        <f>(Table1[[#This Row],[Punkte LC]]+Table1[[#This Row],[Bonus LC]])</f>
        <v>907.3223453120778</v>
      </c>
      <c r="AG4" s="13">
        <f>IF(Table1[[#This Row],[Zeit LC]]&gt;0,_xlfn.RANK.EQ(Table1[[#This Row],[Gesamt LC]],Table1[Gesamt LC],0)," ")</f>
        <v>3</v>
      </c>
      <c r="AH4" s="15">
        <f t="shared" si="2"/>
        <v>907.3223453120778</v>
      </c>
      <c r="AI4" s="8"/>
      <c r="AJ4" s="5" t="str">
        <f>IF(Table1[[#This Row],[Zeit BZF]]&gt;0,_xlfn.RANK.EQ(Table1[[#This Row],[Punkte BZF]],Table1[Punkte BZF],0)," ")</f>
        <v xml:space="preserve"> </v>
      </c>
      <c r="AK4" s="9">
        <f>IF(Table1[[#This Row],[Zeit BZF]]&gt;0,MIN(Table1[Zeit BZF])/Table1[[#This Row],[Zeit BZF]]*1000,0)</f>
        <v>0</v>
      </c>
      <c r="AL4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4" s="9">
        <f>(Table1[[#This Row],[Punkte BZF]]+Table1[[#This Row],[Bonus BZF]])</f>
        <v>0</v>
      </c>
      <c r="AN4" s="13" t="str">
        <f>IF(Table1[[#This Row],[Zeit BZF]]&gt;0,_xlfn.RANK.EQ(Table1[[#This Row],[Gesamt BZF]],Table1[Gesamt BZF],0)," ")</f>
        <v xml:space="preserve"> </v>
      </c>
      <c r="AO4" s="11">
        <v>2.5891203703703704E-2</v>
      </c>
      <c r="AP4" s="5">
        <f>IF(Table1[[#This Row],[Zeit EZF]]&gt;0,_xlfn.RANK.EQ(Table1[[#This Row],[Punkte EZF]],Table1[Punkte EZF],0)," ")</f>
        <v>4</v>
      </c>
      <c r="AQ4" s="9">
        <f>IF(Table1[[#This Row],[Zeit EZF]]&gt;0,MIN(Table1[Zeit EZF])/Table1[[#This Row],[Zeit EZF]]*1000,0)</f>
        <v>836.38801966919982</v>
      </c>
      <c r="AR4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4" s="9">
        <f>(Table1[[#This Row],[Punkte EZF]]+Table1[[#This Row],[Bonus EZF]])</f>
        <v>836.38801966919982</v>
      </c>
      <c r="AT4" s="13">
        <f>IF(Table1[[#This Row],[Zeit EZF]]&gt;0,_xlfn.RANK.EQ(Table1[[#This Row],[Gesamt EZF]],Table1[Gesamt EZF],0)," ")</f>
        <v>4</v>
      </c>
      <c r="AU4" s="17">
        <f t="shared" ref="AU4:AU40" si="3">MAX( AM4,AS4)</f>
        <v>836.38801966919982</v>
      </c>
    </row>
    <row r="5" spans="1:47" x14ac:dyDescent="0.25">
      <c r="A5" s="1" t="s">
        <v>97</v>
      </c>
      <c r="B5" s="1" t="s">
        <v>109</v>
      </c>
      <c r="C5" s="5"/>
      <c r="D5" s="5">
        <v>1975</v>
      </c>
      <c r="E5" s="5">
        <f>IF(Table1[[#This Row],[JG]],2026-Table1[[#This Row],[JG]],0)</f>
        <v>51</v>
      </c>
      <c r="F5" s="4" t="s">
        <v>34</v>
      </c>
      <c r="G5" s="26">
        <f t="shared" si="0"/>
        <v>1044</v>
      </c>
      <c r="H5" s="24">
        <f>_xlfn.RANK.EQ(Table1[[#This Row],[Gesamtpunkte]],Table1[Gesamtpunkte],0)</f>
        <v>3</v>
      </c>
      <c r="I5" s="8">
        <v>3.4918981481481481E-2</v>
      </c>
      <c r="J5" s="4">
        <f>IF(Table1[[#This Row],[Zeit LSC]]&gt;0,_xlfn.RANK.EQ(Table1[[#This Row],[Punkte LSC]],Table1[Punkte LSC],0)," ")</f>
        <v>1</v>
      </c>
      <c r="K5" s="6">
        <f>IF(Table1[[#This Row],[Zeit LSC]]&gt;0,MIN(Table1[Zeit LSC])/Table1[[#This Row],[Zeit LSC]]*1000,0)</f>
        <v>1000</v>
      </c>
      <c r="L5" s="7">
        <f>IF(Table1[[#This Row],[Zeit LSC]]&gt;0,SUM(IF(Table1[[#This Row],[Alter]]&gt;40,(Table1[[#This Row],[Alter]]-40)*4,0),IF(AND(Table1[[#This Row],[Alter]]&lt;20,Table1[[#This Row],[Alter]]&gt;0),(20-Table1[[#This Row],[Alter]])*10,0)),0)</f>
        <v>44</v>
      </c>
      <c r="M5" s="6">
        <f>(Table1[[#This Row],[Punkte LSC]]+Table1[[#This Row],[Bonus LSC]])</f>
        <v>1044</v>
      </c>
      <c r="N5" s="12">
        <f>IF(Table1[[#This Row],[Zeit LSC]]&gt;0,_xlfn.RANK.EQ(Table1[[#This Row],[Gesamt LSC]],Table1[Gesamt LSC],0)," ")</f>
        <v>1</v>
      </c>
      <c r="O5" s="11"/>
      <c r="P5" s="5" t="str">
        <f>IF(Table1[[#This Row],[Zeit LKC]]&gt;0,_xlfn.RANK.EQ(Table1[[#This Row],[Punkte LKC]],Table1[Punkte LKC],0)," ")</f>
        <v xml:space="preserve"> </v>
      </c>
      <c r="Q5" s="6">
        <f>IF(Table1[[#This Row],[Zeit LKC]]&gt;0,MIN(Table1[Zeit LKC])/Table1[[#This Row],[Zeit LKC]]*1000,0)</f>
        <v>0</v>
      </c>
      <c r="R5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5" s="9">
        <f>(Table1[[#This Row],[Punkte LKC]]+Table1[[#This Row],[Bonus LKC]])</f>
        <v>0</v>
      </c>
      <c r="T5" s="13" t="str">
        <f>IF(Table1[[#This Row],[Zeit LKC]]&gt;0,_xlfn.RANK.EQ(Table1[[#This Row],[Gesamt LKC]],Table1[Gesamt LKC],0)," ")</f>
        <v xml:space="preserve"> </v>
      </c>
      <c r="U5" s="15">
        <f t="shared" si="1"/>
        <v>1044</v>
      </c>
      <c r="V5" s="11"/>
      <c r="W5" s="5" t="str">
        <f>IF(Table1[[#This Row],[Zeit S&amp;R]]&gt;0,_xlfn.RANK.EQ(Table1[[#This Row],[Punkte S&amp;R]],Table1[Punkte S&amp;R],0)," ")</f>
        <v xml:space="preserve"> </v>
      </c>
      <c r="X5" s="9">
        <f>IF(Table1[[#This Row],[Zeit S&amp;R]]&gt;0,MIN(Table1[Zeit S&amp;R])/Table1[[#This Row],[Zeit S&amp;R]]*1000,0)</f>
        <v>0</v>
      </c>
      <c r="Y5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5" s="9">
        <f>(Table1[[#This Row],[Punkte S&amp;R]]+Table1[[#This Row],[Bonus S&amp;R]])</f>
        <v>0</v>
      </c>
      <c r="AA5" s="13" t="str">
        <f>IF(Table1[[#This Row],[Zeit S&amp;R]]&gt;0,_xlfn.RANK.EQ(Table1[[#This Row],[Gesamt S&amp;R]],Table1[Gesamt S&amp;R],0)," ")</f>
        <v xml:space="preserve"> </v>
      </c>
      <c r="AB5" s="11"/>
      <c r="AC5" s="13" t="str">
        <f>IF(Table1[[#This Row],[Zeit LC]]&gt;0,_xlfn.RANK.EQ(Table1[[#This Row],[Punkte LC]],Table1[Punkte LC],0)," ")</f>
        <v xml:space="preserve"> </v>
      </c>
      <c r="AD5" s="9">
        <f>IF(Table1[[#This Row],[Zeit LC]]&gt;0,MIN(Table1[Zeit LC])/Table1[[#This Row],[Zeit LC]]*1000,0)</f>
        <v>0</v>
      </c>
      <c r="AE5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5" s="9">
        <f>(Table1[[#This Row],[Punkte LC]]+Table1[[#This Row],[Bonus LC]])</f>
        <v>0</v>
      </c>
      <c r="AG5" s="13" t="str">
        <f>IF(Table1[[#This Row],[Zeit LC]]&gt;0,_xlfn.RANK.EQ(Table1[[#This Row],[Gesamt LC]],Table1[Gesamt LC],0)," ")</f>
        <v xml:space="preserve"> </v>
      </c>
      <c r="AH5" s="15">
        <f t="shared" si="2"/>
        <v>0</v>
      </c>
      <c r="AI5" s="11"/>
      <c r="AJ5" s="5" t="str">
        <f>IF(Table1[[#This Row],[Zeit BZF]]&gt;0,_xlfn.RANK.EQ(Table1[[#This Row],[Punkte BZF]],Table1[Punkte BZF],0)," ")</f>
        <v xml:space="preserve"> </v>
      </c>
      <c r="AK5" s="9">
        <f>IF(Table1[[#This Row],[Zeit BZF]]&gt;0,MIN(Table1[Zeit BZF])/Table1[[#This Row],[Zeit BZF]]*1000,0)</f>
        <v>0</v>
      </c>
      <c r="AL5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5" s="9">
        <f>(Table1[[#This Row],[Punkte BZF]]+Table1[[#This Row],[Bonus BZF]])</f>
        <v>0</v>
      </c>
      <c r="AN5" s="13" t="str">
        <f>IF(Table1[[#This Row],[Zeit BZF]]&gt;0,_xlfn.RANK.EQ(Table1[[#This Row],[Gesamt BZF]],Table1[Gesamt BZF],0)," ")</f>
        <v xml:space="preserve"> </v>
      </c>
      <c r="AO5" s="11"/>
      <c r="AP5" s="5" t="str">
        <f>IF(Table1[[#This Row],[Zeit EZF]]&gt;0,_xlfn.RANK.EQ(Table1[[#This Row],[Punkte EZF]],Table1[Punkte EZF],0)," ")</f>
        <v xml:space="preserve"> </v>
      </c>
      <c r="AQ5" s="9">
        <f>IF(Table1[[#This Row],[Zeit EZF]]&gt;0,MIN(Table1[Zeit EZF])/Table1[[#This Row],[Zeit EZF]]*1000,0)</f>
        <v>0</v>
      </c>
      <c r="AR5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5" s="9">
        <f>(Table1[[#This Row],[Punkte EZF]]+Table1[[#This Row],[Bonus EZF]])</f>
        <v>0</v>
      </c>
      <c r="AT5" s="13" t="str">
        <f>IF(Table1[[#This Row],[Zeit EZF]]&gt;0,_xlfn.RANK.EQ(Table1[[#This Row],[Gesamt EZF]],Table1[Gesamt EZF],0)," ")</f>
        <v xml:space="preserve"> </v>
      </c>
      <c r="AU5" s="17">
        <f t="shared" si="3"/>
        <v>0</v>
      </c>
    </row>
    <row r="6" spans="1:47" x14ac:dyDescent="0.25">
      <c r="A6" s="1" t="s">
        <v>141</v>
      </c>
      <c r="B6" s="1" t="s">
        <v>56</v>
      </c>
      <c r="C6" s="4">
        <v>1</v>
      </c>
      <c r="D6" s="4">
        <v>2001</v>
      </c>
      <c r="E6" s="4">
        <f>IF(Table1[[#This Row],[JG]],2026-Table1[[#This Row],[JG]],0)</f>
        <v>25</v>
      </c>
      <c r="F6" s="4"/>
      <c r="G6" s="26">
        <f t="shared" si="0"/>
        <v>1000</v>
      </c>
      <c r="H6" s="24">
        <f>_xlfn.RANK.EQ(Table1[[#This Row],[Gesamtpunkte]],Table1[Gesamtpunkte],0)</f>
        <v>4</v>
      </c>
      <c r="I6" s="8"/>
      <c r="J6" s="4" t="str">
        <f>IF(Table1[[#This Row],[Zeit LSC]]&gt;0,_xlfn.RANK.EQ(Table1[[#This Row],[Punkte LSC]],Table1[Punkte LSC],0)," ")</f>
        <v xml:space="preserve"> </v>
      </c>
      <c r="K6" s="6">
        <f>IF(Table1[[#This Row],[Zeit LSC]]&gt;0,MIN(Table1[Zeit LSC])/Table1[[#This Row],[Zeit LSC]]*1000,0)</f>
        <v>0</v>
      </c>
      <c r="L6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6" s="6">
        <f>(Table1[[#This Row],[Punkte LSC]]+Table1[[#This Row],[Bonus LSC]])</f>
        <v>0</v>
      </c>
      <c r="N6" s="12" t="str">
        <f>IF(Table1[[#This Row],[Zeit LSC]]&gt;0,_xlfn.RANK.EQ(Table1[[#This Row],[Gesamt LSC]],Table1[Gesamt LSC],0)," ")</f>
        <v xml:space="preserve"> </v>
      </c>
      <c r="O6" s="8"/>
      <c r="P6" s="4" t="str">
        <f>IF(Table1[[#This Row],[Zeit LKC]]&gt;0,_xlfn.RANK.EQ(Table1[[#This Row],[Punkte LKC]],Table1[Punkte LKC],0)," ")</f>
        <v xml:space="preserve"> </v>
      </c>
      <c r="Q6" s="6">
        <f>IF(Table1[[#This Row],[Zeit LKC]]&gt;0,MIN(Table1[Zeit LKC])/Table1[[#This Row],[Zeit LKC]]*1000,0)</f>
        <v>0</v>
      </c>
      <c r="R6" s="7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6" s="6">
        <f>(Table1[[#This Row],[Punkte LKC]]+Table1[[#This Row],[Bonus LKC]])</f>
        <v>0</v>
      </c>
      <c r="T6" s="12" t="str">
        <f>IF(Table1[[#This Row],[Zeit LKC]]&gt;0,_xlfn.RANK.EQ(Table1[[#This Row],[Gesamt LKC]],Table1[Gesamt LKC],0)," ")</f>
        <v xml:space="preserve"> </v>
      </c>
      <c r="U6" s="15">
        <f t="shared" si="1"/>
        <v>0</v>
      </c>
      <c r="V6" s="8">
        <v>3.3900462962962966E-2</v>
      </c>
      <c r="W6" s="5">
        <f>IF(Table1[[#This Row],[Zeit S&amp;R]]&gt;0,_xlfn.RANK.EQ(Table1[[#This Row],[Punkte S&amp;R]],Table1[Punkte S&amp;R],0)," ")</f>
        <v>1</v>
      </c>
      <c r="X6" s="6">
        <f>IF(Table1[[#This Row],[Zeit S&amp;R]]&gt;0,MIN(Table1[Zeit S&amp;R])/Table1[[#This Row],[Zeit S&amp;R]]*1000,0)</f>
        <v>1000</v>
      </c>
      <c r="Y6" s="7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6" s="6">
        <f>(Table1[[#This Row],[Punkte S&amp;R]]+Table1[[#This Row],[Bonus S&amp;R]])</f>
        <v>1000</v>
      </c>
      <c r="AA6" s="12">
        <f>IF(Table1[[#This Row],[Zeit S&amp;R]]&gt;0,_xlfn.RANK.EQ(Table1[[#This Row],[Gesamt S&amp;R]],Table1[Gesamt S&amp;R],0)," ")</f>
        <v>1</v>
      </c>
      <c r="AB6" s="11"/>
      <c r="AC6" s="12" t="str">
        <f>IF(Table1[[#This Row],[Zeit LC]]&gt;0,_xlfn.RANK.EQ(Table1[[#This Row],[Punkte LC]],Table1[Punkte LC],0)," ")</f>
        <v xml:space="preserve"> </v>
      </c>
      <c r="AD6" s="6">
        <f>IF(Table1[[#This Row],[Zeit LC]]&gt;0,MIN(Table1[Zeit LC])/Table1[[#This Row],[Zeit LC]]*1000,0)</f>
        <v>0</v>
      </c>
      <c r="AE6" s="6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6" s="6">
        <f>(Table1[[#This Row],[Punkte LC]]+Table1[[#This Row],[Bonus LC]])</f>
        <v>0</v>
      </c>
      <c r="AG6" s="12" t="str">
        <f>IF(Table1[[#This Row],[Zeit LC]]&gt;0,_xlfn.RANK.EQ(Table1[[#This Row],[Gesamt LC]],Table1[Gesamt LC],0)," ")</f>
        <v xml:space="preserve"> </v>
      </c>
      <c r="AH6" s="15">
        <f t="shared" si="2"/>
        <v>1000</v>
      </c>
      <c r="AI6" s="8"/>
      <c r="AJ6" s="5" t="str">
        <f>IF(Table1[[#This Row],[Zeit BZF]]&gt;0,_xlfn.RANK.EQ(Table1[[#This Row],[Punkte BZF]],Table1[Punkte BZF],0)," ")</f>
        <v xml:space="preserve"> </v>
      </c>
      <c r="AK6" s="9">
        <f>IF(Table1[[#This Row],[Zeit BZF]]&gt;0,MIN(Table1[Zeit BZF])/Table1[[#This Row],[Zeit BZF]]*1000,0)</f>
        <v>0</v>
      </c>
      <c r="AL6" s="7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6" s="6">
        <f>(Table1[[#This Row],[Punkte BZF]]+Table1[[#This Row],[Bonus BZF]])</f>
        <v>0</v>
      </c>
      <c r="AN6" s="12" t="str">
        <f>IF(Table1[[#This Row],[Zeit BZF]]&gt;0,_xlfn.RANK.EQ(Table1[[#This Row],[Gesamt BZF]],Table1[Gesamt BZF],0)," ")</f>
        <v xml:space="preserve"> </v>
      </c>
      <c r="AO6" s="8"/>
      <c r="AP6" s="5" t="str">
        <f>IF(Table1[[#This Row],[Zeit EZF]]&gt;0,_xlfn.RANK.EQ(Table1[[#This Row],[Punkte EZF]],Table1[Punkte EZF],0)," ")</f>
        <v xml:space="preserve"> </v>
      </c>
      <c r="AQ6" s="9">
        <f>IF(Table1[[#This Row],[Zeit EZF]]&gt;0,MIN(Table1[Zeit EZF])/Table1[[#This Row],[Zeit EZF]]*1000,0)</f>
        <v>0</v>
      </c>
      <c r="AR6" s="7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6" s="6">
        <f>(Table1[[#This Row],[Punkte EZF]]+Table1[[#This Row],[Bonus EZF]])</f>
        <v>0</v>
      </c>
      <c r="AT6" s="12" t="str">
        <f>IF(Table1[[#This Row],[Zeit EZF]]&gt;0,_xlfn.RANK.EQ(Table1[[#This Row],[Gesamt EZF]],Table1[Gesamt EZF],0)," ")</f>
        <v xml:space="preserve"> </v>
      </c>
      <c r="AU6" s="17">
        <f t="shared" si="3"/>
        <v>0</v>
      </c>
    </row>
    <row r="7" spans="1:47" x14ac:dyDescent="0.25">
      <c r="A7" s="1" t="s">
        <v>116</v>
      </c>
      <c r="B7" s="1" t="s">
        <v>152</v>
      </c>
      <c r="C7" s="4">
        <v>1</v>
      </c>
      <c r="D7" s="4">
        <v>1991</v>
      </c>
      <c r="E7" s="4">
        <f>IF(Table1[[#This Row],[JG]],2026-Table1[[#This Row],[JG]],0)</f>
        <v>35</v>
      </c>
      <c r="F7" s="4"/>
      <c r="G7" s="26">
        <f t="shared" si="0"/>
        <v>1000</v>
      </c>
      <c r="H7" s="24">
        <f>_xlfn.RANK.EQ(Table1[[#This Row],[Gesamtpunkte]],Table1[Gesamtpunkte],0)</f>
        <v>4</v>
      </c>
      <c r="I7" s="8"/>
      <c r="J7" s="4" t="str">
        <f>IF(Table1[[#This Row],[Zeit LSC]]&gt;0,_xlfn.RANK.EQ(Table1[[#This Row],[Punkte LSC]],Table1[Punkte LSC],0)," ")</f>
        <v xml:space="preserve"> </v>
      </c>
      <c r="K7" s="6">
        <f>IF(Table1[[#This Row],[Zeit LSC]]&gt;0,MIN(Table1[Zeit LSC])/Table1[[#This Row],[Zeit LSC]]*1000,0)</f>
        <v>0</v>
      </c>
      <c r="L7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7" s="6">
        <f>(Table1[[#This Row],[Punkte LSC]]+Table1[[#This Row],[Bonus LSC]])</f>
        <v>0</v>
      </c>
      <c r="N7" s="12" t="str">
        <f>IF(Table1[[#This Row],[Zeit LSC]]&gt;0,_xlfn.RANK.EQ(Table1[[#This Row],[Gesamt LSC]],Table1[Gesamt LSC],0)," ")</f>
        <v xml:space="preserve"> </v>
      </c>
      <c r="O7" s="8"/>
      <c r="P7" s="4" t="str">
        <f>IF(Table1[[#This Row],[Zeit LKC]]&gt;0,_xlfn.RANK.EQ(Table1[[#This Row],[Punkte LKC]],Table1[Punkte LKC],0)," ")</f>
        <v xml:space="preserve"> </v>
      </c>
      <c r="Q7" s="6">
        <f>IF(Table1[[#This Row],[Zeit LKC]]&gt;0,MIN(Table1[Zeit LKC])/Table1[[#This Row],[Zeit LKC]]*1000,0)</f>
        <v>0</v>
      </c>
      <c r="R7" s="7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7" s="6">
        <f>(Table1[[#This Row],[Punkte LKC]]+Table1[[#This Row],[Bonus LKC]])</f>
        <v>0</v>
      </c>
      <c r="T7" s="12" t="str">
        <f>IF(Table1[[#This Row],[Zeit LKC]]&gt;0,_xlfn.RANK.EQ(Table1[[#This Row],[Gesamt LKC]],Table1[Gesamt LKC],0)," ")</f>
        <v xml:space="preserve"> </v>
      </c>
      <c r="U7" s="15">
        <f t="shared" si="1"/>
        <v>0</v>
      </c>
      <c r="V7" s="8"/>
      <c r="W7" s="5" t="str">
        <f>IF(Table1[[#This Row],[Zeit S&amp;R]]&gt;0,_xlfn.RANK.EQ(Table1[[#This Row],[Punkte S&amp;R]],Table1[Punkte S&amp;R],0)," ")</f>
        <v xml:space="preserve"> </v>
      </c>
      <c r="X7" s="6">
        <f>IF(Table1[[#This Row],[Zeit S&amp;R]]&gt;0,MIN(Table1[Zeit S&amp;R])/Table1[[#This Row],[Zeit S&amp;R]]*1000,0)</f>
        <v>0</v>
      </c>
      <c r="Y7" s="7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7" s="6">
        <f>(Table1[[#This Row],[Punkte S&amp;R]]+Table1[[#This Row],[Bonus S&amp;R]])</f>
        <v>0</v>
      </c>
      <c r="AA7" s="12" t="str">
        <f>IF(Table1[[#This Row],[Zeit S&amp;R]]&gt;0,_xlfn.RANK.EQ(Table1[[#This Row],[Gesamt S&amp;R]],Table1[Gesamt S&amp;R],0)," ")</f>
        <v xml:space="preserve"> </v>
      </c>
      <c r="AB7" s="11"/>
      <c r="AC7" s="12" t="str">
        <f>IF(Table1[[#This Row],[Zeit LC]]&gt;0,_xlfn.RANK.EQ(Table1[[#This Row],[Punkte LC]],Table1[Punkte LC],0)," ")</f>
        <v xml:space="preserve"> </v>
      </c>
      <c r="AD7" s="6">
        <f>IF(Table1[[#This Row],[Zeit LC]]&gt;0,MIN(Table1[Zeit LC])/Table1[[#This Row],[Zeit LC]]*1000,0)</f>
        <v>0</v>
      </c>
      <c r="AE7" s="6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7" s="6">
        <f>(Table1[[#This Row],[Punkte LC]]+Table1[[#This Row],[Bonus LC]])</f>
        <v>0</v>
      </c>
      <c r="AG7" s="12" t="str">
        <f>IF(Table1[[#This Row],[Zeit LC]]&gt;0,_xlfn.RANK.EQ(Table1[[#This Row],[Gesamt LC]],Table1[Gesamt LC],0)," ")</f>
        <v xml:space="preserve"> </v>
      </c>
      <c r="AH7" s="15">
        <f t="shared" si="2"/>
        <v>0</v>
      </c>
      <c r="AI7" s="8"/>
      <c r="AJ7" s="5" t="str">
        <f>IF(Table1[[#This Row],[Zeit BZF]]&gt;0,_xlfn.RANK.EQ(Table1[[#This Row],[Punkte BZF]],Table1[Punkte BZF],0)," ")</f>
        <v xml:space="preserve"> </v>
      </c>
      <c r="AK7" s="9">
        <f>IF(Table1[[#This Row],[Zeit BZF]]&gt;0,MIN(Table1[Zeit BZF])/Table1[[#This Row],[Zeit BZF]]*1000,0)</f>
        <v>0</v>
      </c>
      <c r="AL7" s="7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7" s="6">
        <f>(Table1[[#This Row],[Punkte BZF]]+Table1[[#This Row],[Bonus BZF]])</f>
        <v>0</v>
      </c>
      <c r="AN7" s="12" t="str">
        <f>IF(Table1[[#This Row],[Zeit BZF]]&gt;0,_xlfn.RANK.EQ(Table1[[#This Row],[Gesamt BZF]],Table1[Gesamt BZF],0)," ")</f>
        <v xml:space="preserve"> </v>
      </c>
      <c r="AO7" s="8">
        <v>2.1655092592592594E-2</v>
      </c>
      <c r="AP7" s="5">
        <f>IF(Table1[[#This Row],[Zeit EZF]]&gt;0,_xlfn.RANK.EQ(Table1[[#This Row],[Punkte EZF]],Table1[Punkte EZF],0)," ")</f>
        <v>1</v>
      </c>
      <c r="AQ7" s="9">
        <f>IF(Table1[[#This Row],[Zeit EZF]]&gt;0,MIN(Table1[Zeit EZF])/Table1[[#This Row],[Zeit EZF]]*1000,0)</f>
        <v>1000</v>
      </c>
      <c r="AR7" s="7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7" s="6">
        <f>(Table1[[#This Row],[Punkte EZF]]+Table1[[#This Row],[Bonus EZF]])</f>
        <v>1000</v>
      </c>
      <c r="AT7" s="12">
        <f>IF(Table1[[#This Row],[Zeit EZF]]&gt;0,_xlfn.RANK.EQ(Table1[[#This Row],[Gesamt EZF]],Table1[Gesamt EZF],0)," ")</f>
        <v>1</v>
      </c>
      <c r="AU7" s="17">
        <f t="shared" ref="AU7" si="4">MAX( AM7,AS7)</f>
        <v>1000</v>
      </c>
    </row>
    <row r="8" spans="1:47" x14ac:dyDescent="0.25">
      <c r="A8" s="1" t="s">
        <v>144</v>
      </c>
      <c r="B8" s="1" t="s">
        <v>108</v>
      </c>
      <c r="C8" s="5"/>
      <c r="D8" s="5">
        <v>1992</v>
      </c>
      <c r="E8" s="5">
        <f>IF(Table1[[#This Row],[JG]],2026-Table1[[#This Row],[JG]],0)</f>
        <v>34</v>
      </c>
      <c r="F8" s="5"/>
      <c r="G8" s="26">
        <f t="shared" si="0"/>
        <v>949.12379875635952</v>
      </c>
      <c r="H8" s="24">
        <f>_xlfn.RANK.EQ(Table1[[#This Row],[Gesamtpunkte]],Table1[Gesamtpunkte],0)</f>
        <v>6</v>
      </c>
      <c r="I8" s="19"/>
      <c r="J8" s="20" t="str">
        <f>IF(Table1[[#This Row],[Zeit LSC]]&gt;0,_xlfn.RANK.EQ(Table1[[#This Row],[Punkte LSC]],Table1[Punkte LSC],0)," ")</f>
        <v xml:space="preserve"> </v>
      </c>
      <c r="K8" s="21">
        <f>IF(Table1[[#This Row],[Zeit LSC]]&gt;0,MIN(Table1[Zeit LSC])/Table1[[#This Row],[Zeit LSC]]*1000,0)</f>
        <v>0</v>
      </c>
      <c r="L8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8" s="21">
        <f>(Table1[[#This Row],[Punkte LSC]]+Table1[[#This Row],[Bonus LSC]])</f>
        <v>0</v>
      </c>
      <c r="N8" s="23" t="str">
        <f>IF(Table1[[#This Row],[Zeit LSC]]&gt;0,_xlfn.RANK.EQ(Table1[[#This Row],[Gesamt LSC]],Table1[Gesamt LSC],0)," ")</f>
        <v xml:space="preserve"> </v>
      </c>
      <c r="O8" s="11"/>
      <c r="P8" s="5" t="str">
        <f>IF(Table1[[#This Row],[Zeit LKC]]&gt;0,_xlfn.RANK.EQ(Table1[[#This Row],[Punkte LKC]],Table1[Punkte LKC],0)," ")</f>
        <v xml:space="preserve"> </v>
      </c>
      <c r="Q8" s="6">
        <f>IF(Table1[[#This Row],[Zeit LKC]]&gt;0,MIN(Table1[Zeit LKC])/Table1[[#This Row],[Zeit LKC]]*1000,0)</f>
        <v>0</v>
      </c>
      <c r="R8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8" s="9">
        <f>(Table1[[#This Row],[Punkte LKC]]+Table1[[#This Row],[Bonus LKC]])</f>
        <v>0</v>
      </c>
      <c r="T8" s="13" t="str">
        <f>IF(Table1[[#This Row],[Zeit LKC]]&gt;0,_xlfn.RANK.EQ(Table1[[#This Row],[Gesamt LKC]],Table1[Gesamt LKC],0)," ")</f>
        <v xml:space="preserve"> </v>
      </c>
      <c r="U8" s="15">
        <f t="shared" si="1"/>
        <v>0</v>
      </c>
      <c r="V8" s="11"/>
      <c r="W8" s="5" t="str">
        <f>IF(Table1[[#This Row],[Zeit S&amp;R]]&gt;0,_xlfn.RANK.EQ(Table1[[#This Row],[Punkte S&amp;R]],Table1[Punkte S&amp;R],0)," ")</f>
        <v xml:space="preserve"> </v>
      </c>
      <c r="X8" s="9">
        <f>IF(Table1[[#This Row],[Zeit S&amp;R]]&gt;0,MIN(Table1[Zeit S&amp;R])/Table1[[#This Row],[Zeit S&amp;R]]*1000,0)</f>
        <v>0</v>
      </c>
      <c r="Y8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8" s="9">
        <f>(Table1[[#This Row],[Punkte S&amp;R]]+Table1[[#This Row],[Bonus S&amp;R]])</f>
        <v>0</v>
      </c>
      <c r="AA8" s="13" t="str">
        <f>IF(Table1[[#This Row],[Zeit S&amp;R]]&gt;0,_xlfn.RANK.EQ(Table1[[#This Row],[Gesamt S&amp;R]],Table1[Gesamt S&amp;R],0)," ")</f>
        <v xml:space="preserve"> </v>
      </c>
      <c r="AB8" s="11">
        <v>4.0949074074074075E-2</v>
      </c>
      <c r="AC8" s="13">
        <f>IF(Table1[[#This Row],[Zeit LC]]&gt;0,_xlfn.RANK.EQ(Table1[[#This Row],[Punkte LC]],Table1[Punkte LC],0)," ")</f>
        <v>2</v>
      </c>
      <c r="AD8" s="9">
        <f>IF(Table1[[#This Row],[Zeit LC]]&gt;0,MIN(Table1[Zeit LC])/Table1[[#This Row],[Zeit LC]]*1000,0)</f>
        <v>949.12379875635952</v>
      </c>
      <c r="AE8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8" s="9">
        <f>(Table1[[#This Row],[Punkte LC]]+Table1[[#This Row],[Bonus LC]])</f>
        <v>949.12379875635952</v>
      </c>
      <c r="AG8" s="13">
        <f>IF(Table1[[#This Row],[Zeit LC]]&gt;0,_xlfn.RANK.EQ(Table1[[#This Row],[Gesamt LC]],Table1[Gesamt LC],0)," ")</f>
        <v>2</v>
      </c>
      <c r="AH8" s="15">
        <f t="shared" si="2"/>
        <v>949.12379875635952</v>
      </c>
      <c r="AI8" s="8"/>
      <c r="AJ8" s="5" t="str">
        <f>IF(Table1[[#This Row],[Zeit BZF]]&gt;0,_xlfn.RANK.EQ(Table1[[#This Row],[Punkte BZF]],Table1[Punkte BZF],0)," ")</f>
        <v xml:space="preserve"> </v>
      </c>
      <c r="AK8" s="9">
        <f>IF(Table1[[#This Row],[Zeit BZF]]&gt;0,MIN(Table1[Zeit BZF])/Table1[[#This Row],[Zeit BZF]]*1000,0)</f>
        <v>0</v>
      </c>
      <c r="AL8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8" s="9">
        <f>(Table1[[#This Row],[Punkte BZF]]+Table1[[#This Row],[Bonus BZF]])</f>
        <v>0</v>
      </c>
      <c r="AN8" s="13" t="str">
        <f>IF(Table1[[#This Row],[Zeit BZF]]&gt;0,_xlfn.RANK.EQ(Table1[[#This Row],[Gesamt BZF]],Table1[Gesamt BZF],0)," ")</f>
        <v xml:space="preserve"> </v>
      </c>
      <c r="AO8" s="11"/>
      <c r="AP8" s="5" t="str">
        <f>IF(Table1[[#This Row],[Zeit EZF]]&gt;0,_xlfn.RANK.EQ(Table1[[#This Row],[Punkte EZF]],Table1[Punkte EZF],0)," ")</f>
        <v xml:space="preserve"> </v>
      </c>
      <c r="AQ8" s="9">
        <f>IF(Table1[[#This Row],[Zeit EZF]]&gt;0,MIN(Table1[Zeit EZF])/Table1[[#This Row],[Zeit EZF]]*1000,0)</f>
        <v>0</v>
      </c>
      <c r="AR8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8" s="9">
        <f>(Table1[[#This Row],[Punkte EZF]]+Table1[[#This Row],[Bonus EZF]])</f>
        <v>0</v>
      </c>
      <c r="AT8" s="13" t="str">
        <f>IF(Table1[[#This Row],[Zeit EZF]]&gt;0,_xlfn.RANK.EQ(Table1[[#This Row],[Gesamt EZF]],Table1[Gesamt EZF],0)," ")</f>
        <v xml:space="preserve"> </v>
      </c>
      <c r="AU8" s="17">
        <f t="shared" ref="AU8" si="5">MAX( AM8,AS8)</f>
        <v>0</v>
      </c>
    </row>
    <row r="9" spans="1:47" x14ac:dyDescent="0.25">
      <c r="A9" s="1" t="s">
        <v>153</v>
      </c>
      <c r="B9" s="1" t="s">
        <v>154</v>
      </c>
      <c r="C9" s="5"/>
      <c r="D9" s="5">
        <v>1969</v>
      </c>
      <c r="E9" s="5">
        <f>IF(Table1[[#This Row],[JG]],2026-Table1[[#This Row],[JG]],0)</f>
        <v>57</v>
      </c>
      <c r="F9" s="5"/>
      <c r="G9" s="26">
        <f t="shared" si="0"/>
        <v>918.45454545454561</v>
      </c>
      <c r="H9" s="25">
        <f>_xlfn.RANK.EQ(Table1[[#This Row],[Gesamtpunkte]],Table1[Gesamtpunkte],0)</f>
        <v>7</v>
      </c>
      <c r="I9" s="19"/>
      <c r="J9" s="20" t="str">
        <f>IF(Table1[[#This Row],[Zeit LSC]]&gt;0,_xlfn.RANK.EQ(Table1[[#This Row],[Punkte LSC]],Table1[Punkte LSC],0)," ")</f>
        <v xml:space="preserve"> </v>
      </c>
      <c r="K9" s="21">
        <f>IF(Table1[[#This Row],[Zeit LSC]]&gt;0,MIN(Table1[Zeit LSC])/Table1[[#This Row],[Zeit LSC]]*1000,0)</f>
        <v>0</v>
      </c>
      <c r="L9" s="22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9" s="21">
        <f>(Table1[[#This Row],[Punkte LSC]]+Table1[[#This Row],[Bonus LSC]])</f>
        <v>0</v>
      </c>
      <c r="N9" s="23" t="str">
        <f>IF(Table1[[#This Row],[Zeit LSC]]&gt;0,_xlfn.RANK.EQ(Table1[[#This Row],[Gesamt LSC]],Table1[Gesamt LSC],0)," ")</f>
        <v xml:space="preserve"> </v>
      </c>
      <c r="O9" s="5"/>
      <c r="P9" s="5" t="str">
        <f>IF(Table1[[#This Row],[Zeit LKC]]&gt;0,_xlfn.RANK.EQ(Table1[[#This Row],[Punkte LKC]],Table1[Punkte LKC],0)," ")</f>
        <v xml:space="preserve"> </v>
      </c>
      <c r="Q9" s="6">
        <f>IF(Table1[[#This Row],[Zeit LKC]]&gt;0,MIN(Table1[Zeit LKC])/Table1[[#This Row],[Zeit LKC]]*1000,0)</f>
        <v>0</v>
      </c>
      <c r="R9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9" s="9">
        <f>(Table1[[#This Row],[Punkte LKC]]+Table1[[#This Row],[Bonus LKC]])</f>
        <v>0</v>
      </c>
      <c r="T9" s="9" t="str">
        <f>IF(Table1[[#This Row],[Zeit LKC]]&gt;0,_xlfn.RANK.EQ(Table1[[#This Row],[Gesamt LKC]],Table1[Gesamt LKC],0)," ")</f>
        <v xml:space="preserve"> </v>
      </c>
      <c r="U9" s="15">
        <f t="shared" si="1"/>
        <v>0</v>
      </c>
      <c r="V9" s="11"/>
      <c r="W9" s="5" t="str">
        <f>IF(Table1[[#This Row],[Zeit S&amp;R]]&gt;0,_xlfn.RANK.EQ(Table1[[#This Row],[Punkte S&amp;R]],Table1[Punkte S&amp;R],0)," ")</f>
        <v xml:space="preserve"> </v>
      </c>
      <c r="X9" s="9">
        <f>IF(Table1[[#This Row],[Zeit S&amp;R]]&gt;0,MIN(Table1[Zeit S&amp;R])/Table1[[#This Row],[Zeit S&amp;R]]*1000,0)</f>
        <v>0</v>
      </c>
      <c r="Y9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9" s="9">
        <f>(Table1[[#This Row],[Punkte S&amp;R]]+Table1[[#This Row],[Bonus S&amp;R]])</f>
        <v>0</v>
      </c>
      <c r="AA9" s="13" t="str">
        <f>IF(Table1[[#This Row],[Zeit S&amp;R]]&gt;0,_xlfn.RANK.EQ(Table1[[#This Row],[Gesamt S&amp;R]],Table1[Gesamt S&amp;R],0)," ")</f>
        <v xml:space="preserve"> </v>
      </c>
      <c r="AB9" s="11"/>
      <c r="AC9" s="13" t="str">
        <f>IF(Table1[[#This Row],[Zeit LC]]&gt;0,_xlfn.RANK.EQ(Table1[[#This Row],[Punkte LC]],Table1[Punkte LC],0)," ")</f>
        <v xml:space="preserve"> </v>
      </c>
      <c r="AD9" s="9">
        <f>IF(Table1[[#This Row],[Zeit LC]]&gt;0,MIN(Table1[Zeit LC])/Table1[[#This Row],[Zeit LC]]*1000,0)</f>
        <v>0</v>
      </c>
      <c r="AE9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9" s="9">
        <f>(Table1[[#This Row],[Punkte LC]]+Table1[[#This Row],[Bonus LC]])</f>
        <v>0</v>
      </c>
      <c r="AG9" s="13" t="str">
        <f>IF(Table1[[#This Row],[Zeit LC]]&gt;0,_xlfn.RANK.EQ(Table1[[#This Row],[Gesamt LC]],Table1[Gesamt LC],0)," ")</f>
        <v xml:space="preserve"> </v>
      </c>
      <c r="AH9" s="15">
        <f t="shared" si="2"/>
        <v>0</v>
      </c>
      <c r="AI9" s="11"/>
      <c r="AJ9" s="5" t="str">
        <f>IF(Table1[[#This Row],[Zeit BZF]]&gt;0,_xlfn.RANK.EQ(Table1[[#This Row],[Punkte BZF]],Table1[Punkte BZF],0)," ")</f>
        <v xml:space="preserve"> </v>
      </c>
      <c r="AK9" s="9">
        <f>IF(Table1[[#This Row],[Zeit BZF]]&gt;0,MIN(Table1[Zeit BZF])/Table1[[#This Row],[Zeit BZF]]*1000,0)</f>
        <v>0</v>
      </c>
      <c r="AL9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9" s="9">
        <f>(Table1[[#This Row],[Punkte BZF]]+Table1[[#This Row],[Bonus BZF]])</f>
        <v>0</v>
      </c>
      <c r="AN9" s="13" t="str">
        <f>IF(Table1[[#This Row],[Zeit BZF]]&gt;0,_xlfn.RANK.EQ(Table1[[#This Row],[Gesamt BZF]],Table1[Gesamt BZF],0)," ")</f>
        <v xml:space="preserve"> </v>
      </c>
      <c r="AO9" s="11">
        <v>2.5462962962962962E-2</v>
      </c>
      <c r="AP9" s="5">
        <f>IF(Table1[[#This Row],[Zeit EZF]]&gt;0,_xlfn.RANK.EQ(Table1[[#This Row],[Punkte EZF]],Table1[Punkte EZF],0)," ")</f>
        <v>3</v>
      </c>
      <c r="AQ9" s="9">
        <f>IF(Table1[[#This Row],[Zeit EZF]]&gt;0,MIN(Table1[Zeit EZF])/Table1[[#This Row],[Zeit EZF]]*1000,0)</f>
        <v>850.45454545454561</v>
      </c>
      <c r="AR9" s="10">
        <f>IF(Table1[[#This Row],[Zeit EZF]]&gt;0,SUM(IF(Table1[[#This Row],[Alter]]&gt;40,(Table1[[#This Row],[Alter]]-40)*4,0),IF(AND(Table1[[#This Row],[Alter]]&lt;20,Table1[[#This Row],[Alter]]&gt;0),(20-Table1[[#This Row],[Alter]])*10,0)),0)</f>
        <v>68</v>
      </c>
      <c r="AS9" s="9">
        <f>(Table1[[#This Row],[Punkte EZF]]+Table1[[#This Row],[Bonus EZF]])</f>
        <v>918.45454545454561</v>
      </c>
      <c r="AT9" s="13">
        <f>IF(Table1[[#This Row],[Zeit EZF]]&gt;0,_xlfn.RANK.EQ(Table1[[#This Row],[Gesamt EZF]],Table1[Gesamt EZF],0)," ")</f>
        <v>2</v>
      </c>
      <c r="AU9" s="17">
        <f t="shared" si="3"/>
        <v>918.45454545454561</v>
      </c>
    </row>
    <row r="10" spans="1:47" x14ac:dyDescent="0.25">
      <c r="A10" s="1" t="s">
        <v>142</v>
      </c>
      <c r="B10" s="1" t="s">
        <v>143</v>
      </c>
      <c r="C10" s="4">
        <v>1</v>
      </c>
      <c r="D10" s="4">
        <v>2003</v>
      </c>
      <c r="E10" s="4">
        <f>IF(Table1[[#This Row],[JG]],2026-Table1[[#This Row],[JG]],0)</f>
        <v>23</v>
      </c>
      <c r="F10" s="4"/>
      <c r="G10" s="26">
        <f t="shared" si="0"/>
        <v>863.75700383367746</v>
      </c>
      <c r="H10" s="24">
        <f>_xlfn.RANK.EQ(Table1[[#This Row],[Gesamtpunkte]],Table1[Gesamtpunkte],0)</f>
        <v>8</v>
      </c>
      <c r="I10" s="8"/>
      <c r="J10" s="4" t="str">
        <f>IF(Table1[[#This Row],[Zeit LSC]]&gt;0,_xlfn.RANK.EQ(Table1[[#This Row],[Punkte LSC]],Table1[Punkte LSC],0)," ")</f>
        <v xml:space="preserve"> </v>
      </c>
      <c r="K10" s="6">
        <f>IF(Table1[[#This Row],[Zeit LSC]]&gt;0,MIN(Table1[Zeit LSC])/Table1[[#This Row],[Zeit LSC]]*1000,0)</f>
        <v>0</v>
      </c>
      <c r="L10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10" s="6">
        <f>(Table1[[#This Row],[Punkte LSC]]+Table1[[#This Row],[Bonus LSC]])</f>
        <v>0</v>
      </c>
      <c r="N10" s="12" t="str">
        <f>IF(Table1[[#This Row],[Zeit LSC]]&gt;0,_xlfn.RANK.EQ(Table1[[#This Row],[Gesamt LSC]],Table1[Gesamt LSC],0)," ")</f>
        <v xml:space="preserve"> </v>
      </c>
      <c r="O10" s="8"/>
      <c r="P10" s="4" t="str">
        <f>IF(Table1[[#This Row],[Zeit LKC]]&gt;0,_xlfn.RANK.EQ(Table1[[#This Row],[Punkte LKC]],Table1[Punkte LKC],0)," ")</f>
        <v xml:space="preserve"> </v>
      </c>
      <c r="Q10" s="6">
        <f>IF(Table1[[#This Row],[Zeit LKC]]&gt;0,MIN(Table1[Zeit LKC])/Table1[[#This Row],[Zeit LKC]]*1000,0)</f>
        <v>0</v>
      </c>
      <c r="R10" s="7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10" s="6">
        <f>(Table1[[#This Row],[Punkte LKC]]+Table1[[#This Row],[Bonus LKC]])</f>
        <v>0</v>
      </c>
      <c r="T10" s="12" t="str">
        <f>IF(Table1[[#This Row],[Zeit LKC]]&gt;0,_xlfn.RANK.EQ(Table1[[#This Row],[Gesamt LKC]],Table1[Gesamt LKC],0)," ")</f>
        <v xml:space="preserve"> </v>
      </c>
      <c r="U10" s="15">
        <f t="shared" si="1"/>
        <v>0</v>
      </c>
      <c r="V10" s="8">
        <v>3.9247685185185184E-2</v>
      </c>
      <c r="W10" s="5">
        <f>IF(Table1[[#This Row],[Zeit S&amp;R]]&gt;0,_xlfn.RANK.EQ(Table1[[#This Row],[Punkte S&amp;R]],Table1[Punkte S&amp;R],0)," ")</f>
        <v>2</v>
      </c>
      <c r="X10" s="6">
        <f>IF(Table1[[#This Row],[Zeit S&amp;R]]&gt;0,MIN(Table1[Zeit S&amp;R])/Table1[[#This Row],[Zeit S&amp;R]]*1000,0)</f>
        <v>863.75700383367746</v>
      </c>
      <c r="Y10" s="7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10" s="6">
        <f>(Table1[[#This Row],[Punkte S&amp;R]]+Table1[[#This Row],[Bonus S&amp;R]])</f>
        <v>863.75700383367746</v>
      </c>
      <c r="AA10" s="12">
        <f>IF(Table1[[#This Row],[Zeit S&amp;R]]&gt;0,_xlfn.RANK.EQ(Table1[[#This Row],[Gesamt S&amp;R]],Table1[Gesamt S&amp;R],0)," ")</f>
        <v>2</v>
      </c>
      <c r="AB10" s="11"/>
      <c r="AC10" s="12" t="str">
        <f>IF(Table1[[#This Row],[Zeit LC]]&gt;0,_xlfn.RANK.EQ(Table1[[#This Row],[Punkte LC]],Table1[Punkte LC],0)," ")</f>
        <v xml:space="preserve"> </v>
      </c>
      <c r="AD10" s="6">
        <f>IF(Table1[[#This Row],[Zeit LC]]&gt;0,MIN(Table1[Zeit LC])/Table1[[#This Row],[Zeit LC]]*1000,0)</f>
        <v>0</v>
      </c>
      <c r="AE10" s="6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10" s="6">
        <f>(Table1[[#This Row],[Punkte LC]]+Table1[[#This Row],[Bonus LC]])</f>
        <v>0</v>
      </c>
      <c r="AG10" s="12" t="str">
        <f>IF(Table1[[#This Row],[Zeit LC]]&gt;0,_xlfn.RANK.EQ(Table1[[#This Row],[Gesamt LC]],Table1[Gesamt LC],0)," ")</f>
        <v xml:space="preserve"> </v>
      </c>
      <c r="AH10" s="15">
        <f t="shared" si="2"/>
        <v>863.75700383367746</v>
      </c>
      <c r="AI10" s="8"/>
      <c r="AJ10" s="5" t="str">
        <f>IF(Table1[[#This Row],[Zeit BZF]]&gt;0,_xlfn.RANK.EQ(Table1[[#This Row],[Punkte BZF]],Table1[Punkte BZF],0)," ")</f>
        <v xml:space="preserve"> </v>
      </c>
      <c r="AK10" s="9">
        <f>IF(Table1[[#This Row],[Zeit BZF]]&gt;0,MIN(Table1[Zeit BZF])/Table1[[#This Row],[Zeit BZF]]*1000,0)</f>
        <v>0</v>
      </c>
      <c r="AL10" s="7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10" s="6">
        <f>(Table1[[#This Row],[Punkte BZF]]+Table1[[#This Row],[Bonus BZF]])</f>
        <v>0</v>
      </c>
      <c r="AN10" s="12" t="str">
        <f>IF(Table1[[#This Row],[Zeit BZF]]&gt;0,_xlfn.RANK.EQ(Table1[[#This Row],[Gesamt BZF]],Table1[Gesamt BZF],0)," ")</f>
        <v xml:space="preserve"> </v>
      </c>
      <c r="AO10" s="8"/>
      <c r="AP10" s="5" t="str">
        <f>IF(Table1[[#This Row],[Zeit EZF]]&gt;0,_xlfn.RANK.EQ(Table1[[#This Row],[Punkte EZF]],Table1[Punkte EZF],0)," ")</f>
        <v xml:space="preserve"> </v>
      </c>
      <c r="AQ10" s="9">
        <f>IF(Table1[[#This Row],[Zeit EZF]]&gt;0,MIN(Table1[Zeit EZF])/Table1[[#This Row],[Zeit EZF]]*1000,0)</f>
        <v>0</v>
      </c>
      <c r="AR10" s="7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10" s="6">
        <f>(Table1[[#This Row],[Punkte EZF]]+Table1[[#This Row],[Bonus EZF]])</f>
        <v>0</v>
      </c>
      <c r="AT10" s="12" t="str">
        <f>IF(Table1[[#This Row],[Zeit EZF]]&gt;0,_xlfn.RANK.EQ(Table1[[#This Row],[Gesamt EZF]],Table1[Gesamt EZF],0)," ")</f>
        <v xml:space="preserve"> </v>
      </c>
      <c r="AU10" s="17">
        <f t="shared" si="3"/>
        <v>0</v>
      </c>
    </row>
    <row r="11" spans="1:47" x14ac:dyDescent="0.25">
      <c r="A11" s="1" t="s">
        <v>98</v>
      </c>
      <c r="B11" s="1" t="s">
        <v>102</v>
      </c>
      <c r="C11" s="5"/>
      <c r="D11" s="5">
        <v>1967</v>
      </c>
      <c r="E11" s="5">
        <f>IF(Table1[[#This Row],[JG]],2026-Table1[[#This Row],[JG]],0)</f>
        <v>59</v>
      </c>
      <c r="F11" s="5"/>
      <c r="G11" s="26">
        <f t="shared" si="0"/>
        <v>778.56656272487407</v>
      </c>
      <c r="H11" s="24">
        <f>_xlfn.RANK.EQ(Table1[[#This Row],[Gesamtpunkte]],Table1[Gesamtpunkte],0)</f>
        <v>9</v>
      </c>
      <c r="I11" s="19"/>
      <c r="J11" s="20" t="str">
        <f>IF(Table1[[#This Row],[Zeit LSC]]&gt;0,_xlfn.RANK.EQ(Table1[[#This Row],[Punkte LSC]],Table1[Punkte LSC],0)," ")</f>
        <v xml:space="preserve"> </v>
      </c>
      <c r="K11" s="21">
        <f>IF(Table1[[#This Row],[Zeit LSC]]&gt;0,MIN(Table1[Zeit LSC])/Table1[[#This Row],[Zeit LSC]]*1000,0)</f>
        <v>0</v>
      </c>
      <c r="L11" s="10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11" s="21">
        <f>(Table1[[#This Row],[Punkte LSC]]+Table1[[#This Row],[Bonus LSC]])</f>
        <v>0</v>
      </c>
      <c r="N11" s="23" t="str">
        <f>IF(Table1[[#This Row],[Zeit LSC]]&gt;0,_xlfn.RANK.EQ(Table1[[#This Row],[Gesamt LSC]],Table1[Gesamt LSC],0)," ")</f>
        <v xml:space="preserve"> </v>
      </c>
      <c r="O11" s="11"/>
      <c r="P11" s="5" t="str">
        <f>IF(Table1[[#This Row],[Zeit LKC]]&gt;0,_xlfn.RANK.EQ(Table1[[#This Row],[Punkte LKC]],Table1[Punkte LKC],0)," ")</f>
        <v xml:space="preserve"> </v>
      </c>
      <c r="Q11" s="6">
        <f>IF(Table1[[#This Row],[Zeit LKC]]&gt;0,MIN(Table1[Zeit LKC])/Table1[[#This Row],[Zeit LKC]]*1000,0)</f>
        <v>0</v>
      </c>
      <c r="R11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11" s="9">
        <f>(Table1[[#This Row],[Punkte LKC]]+Table1[[#This Row],[Bonus LKC]])</f>
        <v>0</v>
      </c>
      <c r="T11" s="13" t="str">
        <f>IF(Table1[[#This Row],[Zeit LKC]]&gt;0,_xlfn.RANK.EQ(Table1[[#This Row],[Gesamt LKC]],Table1[Gesamt LKC],0)," ")</f>
        <v xml:space="preserve"> </v>
      </c>
      <c r="U11" s="15">
        <f t="shared" si="1"/>
        <v>0</v>
      </c>
      <c r="V11" s="11">
        <v>4.8252314814814817E-2</v>
      </c>
      <c r="W11" s="5">
        <f>IF(Table1[[#This Row],[Zeit S&amp;R]]&gt;0,_xlfn.RANK.EQ(Table1[[#This Row],[Punkte S&amp;R]],Table1[Punkte S&amp;R],0)," ")</f>
        <v>4</v>
      </c>
      <c r="X11" s="9">
        <f>IF(Table1[[#This Row],[Zeit S&amp;R]]&gt;0,MIN(Table1[Zeit S&amp;R])/Table1[[#This Row],[Zeit S&amp;R]]*1000,0)</f>
        <v>702.56656272487407</v>
      </c>
      <c r="Y11" s="10">
        <f>IF(Table1[[#This Row],[Zeit S&amp;R]]&gt;0,SUM(IF(Table1[[#This Row],[Alter]]&gt;40,(Table1[[#This Row],[Alter]]-40)*4,0),IF(AND(Table1[[#This Row],[Alter]]&lt;20,Table1[[#This Row],[Alter]]&gt;0),(20-Table1[[#This Row],[Alter]])*10,0)),0)</f>
        <v>76</v>
      </c>
      <c r="Z11" s="9">
        <f>(Table1[[#This Row],[Punkte S&amp;R]]+Table1[[#This Row],[Bonus S&amp;R]])</f>
        <v>778.56656272487407</v>
      </c>
      <c r="AA11" s="13">
        <f>IF(Table1[[#This Row],[Zeit S&amp;R]]&gt;0,_xlfn.RANK.EQ(Table1[[#This Row],[Gesamt S&amp;R]],Table1[Gesamt S&amp;R],0)," ")</f>
        <v>3</v>
      </c>
      <c r="AB11" s="11"/>
      <c r="AC11" s="13" t="str">
        <f>IF(Table1[[#This Row],[Zeit LC]]&gt;0,_xlfn.RANK.EQ(Table1[[#This Row],[Punkte LC]],Table1[Punkte LC],0)," ")</f>
        <v xml:space="preserve"> </v>
      </c>
      <c r="AD11" s="9">
        <f>IF(Table1[[#This Row],[Zeit LC]]&gt;0,MIN(Table1[Zeit LC])/Table1[[#This Row],[Zeit LC]]*1000,0)</f>
        <v>0</v>
      </c>
      <c r="AE11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11" s="9">
        <f>(Table1[[#This Row],[Punkte LC]]+Table1[[#This Row],[Bonus LC]])</f>
        <v>0</v>
      </c>
      <c r="AG11" s="13" t="str">
        <f>IF(Table1[[#This Row],[Zeit LC]]&gt;0,_xlfn.RANK.EQ(Table1[[#This Row],[Gesamt LC]],Table1[Gesamt LC],0)," ")</f>
        <v xml:space="preserve"> </v>
      </c>
      <c r="AH11" s="15">
        <f t="shared" si="2"/>
        <v>778.56656272487407</v>
      </c>
      <c r="AI11" s="11"/>
      <c r="AJ11" s="5" t="str">
        <f>IF(Table1[[#This Row],[Zeit BZF]]&gt;0,_xlfn.RANK.EQ(Table1[[#This Row],[Punkte BZF]],Table1[Punkte BZF],0)," ")</f>
        <v xml:space="preserve"> </v>
      </c>
      <c r="AK11" s="9">
        <f>IF(Table1[[#This Row],[Zeit BZF]]&gt;0,MIN(Table1[Zeit BZF])/Table1[[#This Row],[Zeit BZF]]*1000,0)</f>
        <v>0</v>
      </c>
      <c r="AL11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11" s="9">
        <f>(Table1[[#This Row],[Punkte BZF]]+Table1[[#This Row],[Bonus BZF]])</f>
        <v>0</v>
      </c>
      <c r="AN11" s="13" t="str">
        <f>IF(Table1[[#This Row],[Zeit BZF]]&gt;0,_xlfn.RANK.EQ(Table1[[#This Row],[Gesamt BZF]],Table1[Gesamt BZF],0)," ")</f>
        <v xml:space="preserve"> </v>
      </c>
      <c r="AO11" s="11"/>
      <c r="AP11" s="5" t="str">
        <f>IF(Table1[[#This Row],[Zeit EZF]]&gt;0,_xlfn.RANK.EQ(Table1[[#This Row],[Punkte EZF]],Table1[Punkte EZF],0)," ")</f>
        <v xml:space="preserve"> </v>
      </c>
      <c r="AQ11" s="9">
        <f>IF(Table1[[#This Row],[Zeit EZF]]&gt;0,MIN(Table1[Zeit EZF])/Table1[[#This Row],[Zeit EZF]]*1000,0)</f>
        <v>0</v>
      </c>
      <c r="AR11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11" s="9">
        <f>(Table1[[#This Row],[Punkte EZF]]+Table1[[#This Row],[Bonus EZF]])</f>
        <v>0</v>
      </c>
      <c r="AT11" s="13" t="str">
        <f>IF(Table1[[#This Row],[Zeit EZF]]&gt;0,_xlfn.RANK.EQ(Table1[[#This Row],[Gesamt EZF]],Table1[Gesamt EZF],0)," ")</f>
        <v xml:space="preserve"> </v>
      </c>
      <c r="AU11" s="17">
        <f t="shared" si="3"/>
        <v>0</v>
      </c>
    </row>
    <row r="12" spans="1:47" x14ac:dyDescent="0.25">
      <c r="A12" s="18" t="s">
        <v>113</v>
      </c>
      <c r="B12" s="1" t="s">
        <v>114</v>
      </c>
      <c r="C12" s="5"/>
      <c r="D12" s="5">
        <v>1997</v>
      </c>
      <c r="E12" s="5">
        <f>IF(Table1[[#This Row],[JG]],2026-Table1[[#This Row],[JG]],0)</f>
        <v>29</v>
      </c>
      <c r="F12" s="5"/>
      <c r="G12" s="26">
        <f t="shared" si="0"/>
        <v>714.91335123260933</v>
      </c>
      <c r="H12" s="25">
        <f>_xlfn.RANK.EQ(Table1[[#This Row],[Gesamtpunkte]],Table1[Gesamtpunkte],0)</f>
        <v>10</v>
      </c>
      <c r="I12" s="19"/>
      <c r="J12" s="20" t="str">
        <f>IF(Table1[[#This Row],[Zeit LSC]]&gt;0,_xlfn.RANK.EQ(Table1[[#This Row],[Punkte LSC]],Table1[Punkte LSC],0)," ")</f>
        <v xml:space="preserve"> </v>
      </c>
      <c r="K12" s="21">
        <f>IF(Table1[[#This Row],[Zeit LSC]]&gt;0,MIN(Table1[Zeit LSC])/Table1[[#This Row],[Zeit LSC]]*1000,0)</f>
        <v>0</v>
      </c>
      <c r="L12" s="22">
        <f>IF(Table1[[#This Row],[Zeit LSC]]&gt;0,SUM(IF(Table1[[#This Row],[Alter]]&gt;40,(Table1[[#This Row],[Alter]]-40)*4,0),IF(AND(Table1[[#This Row],[Alter]]&lt;20,Table1[[#This Row],[Alter]]&gt;0),(20-Table1[[#This Row],[Alter]])*10,0)),0)</f>
        <v>0</v>
      </c>
      <c r="M12" s="21">
        <f>(Table1[[#This Row],[Punkte LSC]]+Table1[[#This Row],[Bonus LSC]])</f>
        <v>0</v>
      </c>
      <c r="N12" s="23" t="str">
        <f>IF(Table1[[#This Row],[Zeit LSC]]&gt;0,_xlfn.RANK.EQ(Table1[[#This Row],[Gesamt LSC]],Table1[Gesamt LSC],0)," ")</f>
        <v xml:space="preserve"> </v>
      </c>
      <c r="O12" s="5"/>
      <c r="P12" s="5" t="str">
        <f>IF(Table1[[#This Row],[Zeit LKC]]&gt;0,_xlfn.RANK.EQ(Table1[[#This Row],[Punkte LKC]],Table1[Punkte LKC],0)," ")</f>
        <v xml:space="preserve"> </v>
      </c>
      <c r="Q12" s="6">
        <f>IF(Table1[[#This Row],[Zeit LKC]]&gt;0,MIN(Table1[Zeit LKC])/Table1[[#This Row],[Zeit LKC]]*1000,0)</f>
        <v>0</v>
      </c>
      <c r="R12" s="10">
        <f>IF(Table1[[#This Row],[Zeit LKC]]&gt;0,SUM(IF(Table1[[#This Row],[Alter]]&gt;40,(Table1[[#This Row],[Alter]]-40)*4,0),IF(AND(Table1[[#This Row],[Alter]]&lt;20,Table1[[#This Row],[Alter]]&gt;0),(20-Table1[[#This Row],[Alter]])*10,0)),0)</f>
        <v>0</v>
      </c>
      <c r="S12" s="9">
        <f>(Table1[[#This Row],[Punkte LKC]]+Table1[[#This Row],[Bonus LKC]])</f>
        <v>0</v>
      </c>
      <c r="T12" s="9" t="str">
        <f>IF(Table1[[#This Row],[Zeit LKC]]&gt;0,_xlfn.RANK.EQ(Table1[[#This Row],[Gesamt LKC]],Table1[Gesamt LKC],0)," ")</f>
        <v xml:space="preserve"> </v>
      </c>
      <c r="U12" s="15">
        <f t="shared" si="1"/>
        <v>0</v>
      </c>
      <c r="V12" s="11">
        <v>4.7418981481481479E-2</v>
      </c>
      <c r="W12" s="5">
        <f>IF(Table1[[#This Row],[Zeit S&amp;R]]&gt;0,_xlfn.RANK.EQ(Table1[[#This Row],[Punkte S&amp;R]],Table1[Punkte S&amp;R],0)," ")</f>
        <v>3</v>
      </c>
      <c r="X12" s="9">
        <f>IF(Table1[[#This Row],[Zeit S&amp;R]]&gt;0,MIN(Table1[Zeit S&amp;R])/Table1[[#This Row],[Zeit S&amp;R]]*1000,0)</f>
        <v>714.91335123260933</v>
      </c>
      <c r="Y12" s="10">
        <f>IF(Table1[[#This Row],[Zeit S&amp;R]]&gt;0,SUM(IF(Table1[[#This Row],[Alter]]&gt;40,(Table1[[#This Row],[Alter]]-40)*4,0),IF(AND(Table1[[#This Row],[Alter]]&lt;20,Table1[[#This Row],[Alter]]&gt;0),(20-Table1[[#This Row],[Alter]])*10,0)),0)</f>
        <v>0</v>
      </c>
      <c r="Z12" s="9">
        <f>(Table1[[#This Row],[Punkte S&amp;R]]+Table1[[#This Row],[Bonus S&amp;R]])</f>
        <v>714.91335123260933</v>
      </c>
      <c r="AA12" s="13">
        <f>IF(Table1[[#This Row],[Zeit S&amp;R]]&gt;0,_xlfn.RANK.EQ(Table1[[#This Row],[Gesamt S&amp;R]],Table1[Gesamt S&amp;R],0)," ")</f>
        <v>4</v>
      </c>
      <c r="AB12" s="11"/>
      <c r="AC12" s="13" t="str">
        <f>IF(Table1[[#This Row],[Zeit LC]]&gt;0,_xlfn.RANK.EQ(Table1[[#This Row],[Punkte LC]],Table1[Punkte LC],0)," ")</f>
        <v xml:space="preserve"> </v>
      </c>
      <c r="AD12" s="9">
        <f>IF(Table1[[#This Row],[Zeit LC]]&gt;0,MIN(Table1[Zeit LC])/Table1[[#This Row],[Zeit LC]]*1000,0)</f>
        <v>0</v>
      </c>
      <c r="AE12" s="9">
        <f>IF(Table1[[#This Row],[Zeit LC]]&gt;0,SUM(IF(Table1[[#This Row],[Alter]]&gt;40,(Table1[[#This Row],[Alter]]-40)*4,0),IF(AND(Table1[[#This Row],[Alter]]&lt;20,Table1[[#This Row],[Alter]]&gt;0),(20-Table1[[#This Row],[Alter]])*10,0)),0)</f>
        <v>0</v>
      </c>
      <c r="AF12" s="9">
        <f>(Table1[[#This Row],[Punkte LC]]+Table1[[#This Row],[Bonus LC]])</f>
        <v>0</v>
      </c>
      <c r="AG12" s="13" t="str">
        <f>IF(Table1[[#This Row],[Zeit LC]]&gt;0,_xlfn.RANK.EQ(Table1[[#This Row],[Gesamt LC]],Table1[Gesamt LC],0)," ")</f>
        <v xml:space="preserve"> </v>
      </c>
      <c r="AH12" s="15">
        <f t="shared" si="2"/>
        <v>714.91335123260933</v>
      </c>
      <c r="AI12" s="11"/>
      <c r="AJ12" s="5" t="str">
        <f>IF(Table1[[#This Row],[Zeit BZF]]&gt;0,_xlfn.RANK.EQ(Table1[[#This Row],[Punkte BZF]],Table1[Punkte BZF],0)," ")</f>
        <v xml:space="preserve"> </v>
      </c>
      <c r="AK12" s="9">
        <f>IF(Table1[[#This Row],[Zeit BZF]]&gt;0,MIN(Table1[Zeit BZF])/Table1[[#This Row],[Zeit BZF]]*1000,0)</f>
        <v>0</v>
      </c>
      <c r="AL12" s="10">
        <f>IF(Table1[[#This Row],[Zeit BZF]]&gt;0,SUM(IF(Table1[[#This Row],[Alter]]&gt;40,(Table1[[#This Row],[Alter]]-40)*4,0),IF(AND(Table1[[#This Row],[Alter]]&lt;20,Table1[[#This Row],[Alter]]&gt;0),(20-Table1[[#This Row],[Alter]])*10,0)),0)</f>
        <v>0</v>
      </c>
      <c r="AM12" s="9">
        <f>(Table1[[#This Row],[Punkte BZF]]+Table1[[#This Row],[Bonus BZF]])</f>
        <v>0</v>
      </c>
      <c r="AN12" s="13" t="str">
        <f>IF(Table1[[#This Row],[Zeit BZF]]&gt;0,_xlfn.RANK.EQ(Table1[[#This Row],[Gesamt BZF]],Table1[Gesamt BZF],0)," ")</f>
        <v xml:space="preserve"> </v>
      </c>
      <c r="AO12" s="11"/>
      <c r="AP12" s="5" t="str">
        <f>IF(Table1[[#This Row],[Zeit EZF]]&gt;0,_xlfn.RANK.EQ(Table1[[#This Row],[Punkte EZF]],Table1[Punkte EZF],0)," ")</f>
        <v xml:space="preserve"> </v>
      </c>
      <c r="AQ12" s="9">
        <f>IF(Table1[[#This Row],[Zeit EZF]]&gt;0,MIN(Table1[Zeit EZF])/Table1[[#This Row],[Zeit EZF]]*1000,0)</f>
        <v>0</v>
      </c>
      <c r="AR12" s="10">
        <f>IF(Table1[[#This Row],[Zeit EZF]]&gt;0,SUM(IF(Table1[[#This Row],[Alter]]&gt;40,(Table1[[#This Row],[Alter]]-40)*4,0),IF(AND(Table1[[#This Row],[Alter]]&lt;20,Table1[[#This Row],[Alter]]&gt;0),(20-Table1[[#This Row],[Alter]])*10,0)),0)</f>
        <v>0</v>
      </c>
      <c r="AS12" s="9">
        <f>(Table1[[#This Row],[Punkte EZF]]+Table1[[#This Row],[Bonus EZF]])</f>
        <v>0</v>
      </c>
      <c r="AT12" s="13" t="str">
        <f>IF(Table1[[#This Row],[Zeit EZF]]&gt;0,_xlfn.RANK.EQ(Table1[[#This Row],[Gesamt EZF]],Table1[Gesamt EZF],0)," ")</f>
        <v xml:space="preserve"> </v>
      </c>
      <c r="AU12" s="17">
        <f t="shared" si="3"/>
        <v>0</v>
      </c>
    </row>
    <row r="13" spans="1:47" x14ac:dyDescent="0.25">
      <c r="A13" s="1"/>
      <c r="B13" s="1"/>
      <c r="C13" s="4"/>
      <c r="D13" s="4"/>
      <c r="E13" s="4"/>
      <c r="F13" s="4"/>
      <c r="G13" s="26"/>
      <c r="H13" s="24"/>
      <c r="I13" s="8"/>
      <c r="J13" s="4"/>
      <c r="K13" s="6"/>
      <c r="L13" s="7"/>
      <c r="M13" s="6"/>
      <c r="N13" s="12"/>
      <c r="O13" s="8"/>
      <c r="P13" s="4"/>
      <c r="Q13" s="6"/>
      <c r="R13" s="7"/>
      <c r="S13" s="6"/>
      <c r="T13" s="12"/>
      <c r="U13" s="15"/>
      <c r="V13" s="8"/>
      <c r="W13" s="5"/>
      <c r="X13" s="6"/>
      <c r="Y13" s="7"/>
      <c r="Z13" s="6"/>
      <c r="AA13" s="12"/>
      <c r="AB13" s="6"/>
      <c r="AC13" s="12"/>
      <c r="AD13" s="6"/>
      <c r="AE13" s="6"/>
      <c r="AF13" s="6"/>
      <c r="AG13" s="12"/>
      <c r="AH13" s="15"/>
      <c r="AI13" s="8"/>
      <c r="AJ13" s="5"/>
      <c r="AK13" s="9"/>
      <c r="AL13" s="7"/>
      <c r="AM13" s="6"/>
      <c r="AN13" s="12"/>
      <c r="AO13" s="8"/>
      <c r="AP13" s="5"/>
      <c r="AQ13" s="9"/>
      <c r="AR13" s="7"/>
      <c r="AS13" s="6"/>
      <c r="AT13" s="12"/>
      <c r="AU13" s="17"/>
    </row>
    <row r="14" spans="1:47" x14ac:dyDescent="0.25">
      <c r="A14" s="1"/>
      <c r="B14" s="1"/>
      <c r="C14" s="4"/>
      <c r="D14" s="4"/>
      <c r="E14" s="4"/>
      <c r="F14" s="4"/>
      <c r="G14" s="26"/>
      <c r="H14" s="24"/>
      <c r="I14" s="8"/>
      <c r="J14" s="4"/>
      <c r="K14" s="6"/>
      <c r="L14" s="10"/>
      <c r="M14" s="6"/>
      <c r="N14" s="12"/>
      <c r="O14" s="8"/>
      <c r="P14" s="4"/>
      <c r="Q14" s="6"/>
      <c r="R14" s="7"/>
      <c r="S14" s="6"/>
      <c r="T14" s="12"/>
      <c r="U14" s="15"/>
      <c r="V14" s="8"/>
      <c r="W14" s="5"/>
      <c r="X14" s="6"/>
      <c r="Y14" s="7"/>
      <c r="Z14" s="6"/>
      <c r="AA14" s="12"/>
      <c r="AB14" s="6"/>
      <c r="AC14" s="12"/>
      <c r="AD14" s="6"/>
      <c r="AE14" s="6"/>
      <c r="AF14" s="6"/>
      <c r="AG14" s="12"/>
      <c r="AH14" s="15"/>
      <c r="AI14" s="8"/>
      <c r="AJ14" s="5"/>
      <c r="AK14" s="9"/>
      <c r="AL14" s="7"/>
      <c r="AM14" s="6"/>
      <c r="AN14" s="12"/>
      <c r="AO14" s="8"/>
      <c r="AP14" s="5"/>
      <c r="AQ14" s="9"/>
      <c r="AR14" s="7"/>
      <c r="AS14" s="6"/>
      <c r="AT14" s="12"/>
      <c r="AU14" s="17"/>
    </row>
    <row r="15" spans="1:47" x14ac:dyDescent="0.25">
      <c r="A15" s="1"/>
      <c r="B15" s="1"/>
      <c r="C15" s="5"/>
      <c r="D15" s="5"/>
      <c r="E15" s="5"/>
      <c r="F15" s="4"/>
      <c r="G15" s="26"/>
      <c r="H15" s="24"/>
      <c r="I15" s="19"/>
      <c r="J15" s="20"/>
      <c r="K15" s="21"/>
      <c r="L15" s="10"/>
      <c r="M15" s="21"/>
      <c r="N15" s="23"/>
      <c r="O15" s="11"/>
      <c r="P15" s="5"/>
      <c r="Q15" s="6"/>
      <c r="R15" s="10"/>
      <c r="S15" s="9"/>
      <c r="T15" s="13"/>
      <c r="U15" s="15"/>
      <c r="V15" s="11"/>
      <c r="W15" s="5"/>
      <c r="X15" s="9"/>
      <c r="Y15" s="10"/>
      <c r="Z15" s="9"/>
      <c r="AA15" s="13"/>
      <c r="AB15" s="11"/>
      <c r="AC15" s="13"/>
      <c r="AD15" s="9"/>
      <c r="AE15" s="9"/>
      <c r="AF15" s="9"/>
      <c r="AG15" s="13"/>
      <c r="AH15" s="15"/>
      <c r="AI15" s="11"/>
      <c r="AJ15" s="5"/>
      <c r="AK15" s="9"/>
      <c r="AL15" s="10"/>
      <c r="AM15" s="9"/>
      <c r="AN15" s="13"/>
      <c r="AO15" s="11"/>
      <c r="AP15" s="5"/>
      <c r="AQ15" s="9"/>
      <c r="AR15" s="10"/>
      <c r="AS15" s="9"/>
      <c r="AT15" s="13"/>
      <c r="AU15" s="17"/>
    </row>
    <row r="16" spans="1:47" x14ac:dyDescent="0.25">
      <c r="A16" s="18"/>
      <c r="B16" s="1"/>
      <c r="C16" s="5"/>
      <c r="D16" s="5"/>
      <c r="E16" s="5"/>
      <c r="F16" s="5"/>
      <c r="G16" s="26"/>
      <c r="H16" s="25"/>
      <c r="I16" s="19"/>
      <c r="J16" s="20"/>
      <c r="K16" s="21"/>
      <c r="L16" s="22"/>
      <c r="M16" s="21"/>
      <c r="N16" s="23"/>
      <c r="O16" s="5"/>
      <c r="P16" s="5"/>
      <c r="Q16" s="6"/>
      <c r="R16" s="10"/>
      <c r="S16" s="9"/>
      <c r="T16" s="9"/>
      <c r="U16" s="15"/>
      <c r="V16" s="11"/>
      <c r="W16" s="5"/>
      <c r="X16" s="9"/>
      <c r="Y16" s="10"/>
      <c r="Z16" s="9"/>
      <c r="AA16" s="13"/>
      <c r="AB16" s="11"/>
      <c r="AC16" s="13"/>
      <c r="AD16" s="9"/>
      <c r="AE16" s="9"/>
      <c r="AF16" s="9"/>
      <c r="AG16" s="13"/>
      <c r="AH16" s="15"/>
      <c r="AI16" s="11"/>
      <c r="AJ16" s="5"/>
      <c r="AK16" s="9"/>
      <c r="AL16" s="10"/>
      <c r="AM16" s="9"/>
      <c r="AN16" s="13"/>
      <c r="AO16" s="11"/>
      <c r="AP16" s="5"/>
      <c r="AQ16" s="9"/>
      <c r="AR16" s="10"/>
      <c r="AS16" s="9"/>
      <c r="AT16" s="13"/>
      <c r="AU16" s="17"/>
    </row>
    <row r="17" spans="1:47" x14ac:dyDescent="0.25">
      <c r="A17" s="18"/>
      <c r="B17" s="1"/>
      <c r="C17" s="5"/>
      <c r="D17" s="5"/>
      <c r="E17" s="5"/>
      <c r="F17" s="5"/>
      <c r="G17" s="26"/>
      <c r="H17" s="25"/>
      <c r="I17" s="19"/>
      <c r="J17" s="20"/>
      <c r="K17" s="21"/>
      <c r="L17" s="22"/>
      <c r="M17" s="21"/>
      <c r="N17" s="23"/>
      <c r="O17" s="5"/>
      <c r="P17" s="5"/>
      <c r="Q17" s="6"/>
      <c r="R17" s="10"/>
      <c r="S17" s="9"/>
      <c r="T17" s="9"/>
      <c r="U17" s="15"/>
      <c r="V17" s="11"/>
      <c r="W17" s="5"/>
      <c r="X17" s="9"/>
      <c r="Y17" s="10"/>
      <c r="Z17" s="9"/>
      <c r="AA17" s="13"/>
      <c r="AB17" s="11"/>
      <c r="AC17" s="13"/>
      <c r="AD17" s="9"/>
      <c r="AE17" s="9"/>
      <c r="AF17" s="9"/>
      <c r="AG17" s="13"/>
      <c r="AH17" s="15"/>
      <c r="AI17" s="11"/>
      <c r="AJ17" s="5"/>
      <c r="AK17" s="9"/>
      <c r="AL17" s="10"/>
      <c r="AM17" s="9"/>
      <c r="AN17" s="13"/>
      <c r="AO17" s="11"/>
      <c r="AP17" s="5"/>
      <c r="AQ17" s="9"/>
      <c r="AR17" s="10"/>
      <c r="AS17" s="9"/>
      <c r="AT17" s="13"/>
      <c r="AU17" s="17"/>
    </row>
    <row r="18" spans="1:47" x14ac:dyDescent="0.25">
      <c r="A18" s="1"/>
      <c r="B18" s="1"/>
      <c r="C18" s="4"/>
      <c r="D18" s="4"/>
      <c r="E18" s="4"/>
      <c r="F18" s="4"/>
      <c r="G18" s="26"/>
      <c r="H18" s="24"/>
      <c r="I18" s="8"/>
      <c r="J18" s="4"/>
      <c r="K18" s="6"/>
      <c r="L18" s="10"/>
      <c r="M18" s="6"/>
      <c r="N18" s="12"/>
      <c r="O18" s="8"/>
      <c r="P18" s="4"/>
      <c r="Q18" s="6"/>
      <c r="R18" s="7"/>
      <c r="S18" s="6"/>
      <c r="T18" s="12"/>
      <c r="U18" s="15"/>
      <c r="V18" s="8"/>
      <c r="W18" s="5"/>
      <c r="X18" s="6"/>
      <c r="Y18" s="7"/>
      <c r="Z18" s="6"/>
      <c r="AA18" s="12"/>
      <c r="AB18" s="11"/>
      <c r="AC18" s="12"/>
      <c r="AD18" s="6"/>
      <c r="AE18" s="6"/>
      <c r="AF18" s="6"/>
      <c r="AG18" s="12"/>
      <c r="AH18" s="15"/>
      <c r="AI18" s="8"/>
      <c r="AJ18" s="5"/>
      <c r="AK18" s="9"/>
      <c r="AL18" s="7"/>
      <c r="AM18" s="6"/>
      <c r="AN18" s="12"/>
      <c r="AO18" s="8"/>
      <c r="AP18" s="5"/>
      <c r="AQ18" s="9"/>
      <c r="AR18" s="7"/>
      <c r="AS18" s="6"/>
      <c r="AT18" s="12"/>
      <c r="AU18" s="17"/>
    </row>
    <row r="19" spans="1:47" x14ac:dyDescent="0.25">
      <c r="A19" s="1"/>
      <c r="B19" s="1"/>
      <c r="C19" s="5"/>
      <c r="D19" s="5"/>
      <c r="E19" s="5"/>
      <c r="F19" s="5"/>
      <c r="G19" s="26"/>
      <c r="H19" s="24"/>
      <c r="I19" s="19"/>
      <c r="J19" s="20"/>
      <c r="K19" s="21"/>
      <c r="L19" s="10"/>
      <c r="M19" s="21"/>
      <c r="N19" s="23"/>
      <c r="O19" s="11"/>
      <c r="P19" s="5"/>
      <c r="Q19" s="6"/>
      <c r="R19" s="10"/>
      <c r="S19" s="9"/>
      <c r="T19" s="13"/>
      <c r="U19" s="15"/>
      <c r="V19" s="11"/>
      <c r="W19" s="5"/>
      <c r="X19" s="9"/>
      <c r="Y19" s="10"/>
      <c r="Z19" s="9"/>
      <c r="AA19" s="13"/>
      <c r="AB19" s="11"/>
      <c r="AC19" s="13"/>
      <c r="AD19" s="9"/>
      <c r="AE19" s="9"/>
      <c r="AF19" s="9"/>
      <c r="AG19" s="13"/>
      <c r="AH19" s="15"/>
      <c r="AI19" s="11"/>
      <c r="AJ19" s="5"/>
      <c r="AK19" s="9"/>
      <c r="AL19" s="10"/>
      <c r="AM19" s="9"/>
      <c r="AN19" s="13"/>
      <c r="AO19" s="11"/>
      <c r="AP19" s="5"/>
      <c r="AQ19" s="9"/>
      <c r="AR19" s="10"/>
      <c r="AS19" s="9"/>
      <c r="AT19" s="13"/>
      <c r="AU19" s="17"/>
    </row>
    <row r="20" spans="1:47" x14ac:dyDescent="0.25">
      <c r="A20" s="1"/>
      <c r="B20" s="1"/>
      <c r="C20" s="5"/>
      <c r="D20" s="5"/>
      <c r="E20" s="5"/>
      <c r="F20" s="4"/>
      <c r="G20" s="26"/>
      <c r="H20" s="24"/>
      <c r="I20" s="8"/>
      <c r="J20" s="4"/>
      <c r="K20" s="6"/>
      <c r="L20" s="7"/>
      <c r="M20" s="6"/>
      <c r="N20" s="12"/>
      <c r="O20" s="11"/>
      <c r="P20" s="5"/>
      <c r="Q20" s="6"/>
      <c r="R20" s="10"/>
      <c r="S20" s="9"/>
      <c r="T20" s="13"/>
      <c r="U20" s="15"/>
      <c r="V20" s="11"/>
      <c r="W20" s="5"/>
      <c r="X20" s="9"/>
      <c r="Y20" s="10"/>
      <c r="Z20" s="9"/>
      <c r="AA20" s="13"/>
      <c r="AB20" s="11"/>
      <c r="AC20" s="13"/>
      <c r="AD20" s="9"/>
      <c r="AE20" s="9"/>
      <c r="AF20" s="9"/>
      <c r="AG20" s="13"/>
      <c r="AH20" s="15"/>
      <c r="AI20" s="11"/>
      <c r="AJ20" s="5"/>
      <c r="AK20" s="9"/>
      <c r="AL20" s="10"/>
      <c r="AM20" s="9"/>
      <c r="AN20" s="13"/>
      <c r="AO20" s="11"/>
      <c r="AP20" s="5"/>
      <c r="AQ20" s="9"/>
      <c r="AR20" s="10"/>
      <c r="AS20" s="9"/>
      <c r="AT20" s="13"/>
      <c r="AU20" s="17"/>
    </row>
    <row r="21" spans="1:47" x14ac:dyDescent="0.25">
      <c r="A21" s="1"/>
      <c r="B21" s="1"/>
      <c r="C21" s="4"/>
      <c r="D21" s="4"/>
      <c r="E21" s="4"/>
      <c r="F21" s="4"/>
      <c r="G21" s="26"/>
      <c r="H21" s="24"/>
      <c r="I21" s="8"/>
      <c r="J21" s="4"/>
      <c r="K21" s="6"/>
      <c r="L21" s="10"/>
      <c r="M21" s="6"/>
      <c r="N21" s="12"/>
      <c r="O21" s="8"/>
      <c r="P21" s="4"/>
      <c r="Q21" s="6"/>
      <c r="R21" s="7"/>
      <c r="S21" s="6"/>
      <c r="T21" s="12"/>
      <c r="U21" s="15"/>
      <c r="V21" s="8"/>
      <c r="W21" s="5"/>
      <c r="X21" s="6"/>
      <c r="Y21" s="7"/>
      <c r="Z21" s="6"/>
      <c r="AA21" s="12"/>
      <c r="AB21" s="11"/>
      <c r="AC21" s="12"/>
      <c r="AD21" s="6"/>
      <c r="AE21" s="6"/>
      <c r="AF21" s="6"/>
      <c r="AG21" s="12"/>
      <c r="AH21" s="15"/>
      <c r="AI21" s="8"/>
      <c r="AJ21" s="5"/>
      <c r="AK21" s="9"/>
      <c r="AL21" s="7"/>
      <c r="AM21" s="6"/>
      <c r="AN21" s="12"/>
      <c r="AO21" s="8"/>
      <c r="AP21" s="5"/>
      <c r="AQ21" s="9"/>
      <c r="AR21" s="7"/>
      <c r="AS21" s="6"/>
      <c r="AT21" s="12"/>
      <c r="AU21" s="17"/>
    </row>
    <row r="22" spans="1:47" x14ac:dyDescent="0.25">
      <c r="A22" s="1"/>
      <c r="B22" s="1"/>
      <c r="C22" s="5"/>
      <c r="D22" s="5"/>
      <c r="E22" s="5"/>
      <c r="F22" s="4"/>
      <c r="G22" s="26"/>
      <c r="H22" s="24"/>
      <c r="I22" s="19"/>
      <c r="J22" s="20"/>
      <c r="K22" s="21"/>
      <c r="L22" s="10"/>
      <c r="M22" s="21"/>
      <c r="N22" s="23"/>
      <c r="O22" s="11"/>
      <c r="P22" s="5"/>
      <c r="Q22" s="6"/>
      <c r="R22" s="10"/>
      <c r="S22" s="9"/>
      <c r="T22" s="13"/>
      <c r="U22" s="15"/>
      <c r="V22" s="11"/>
      <c r="W22" s="5"/>
      <c r="X22" s="9"/>
      <c r="Y22" s="10"/>
      <c r="Z22" s="9"/>
      <c r="AA22" s="13"/>
      <c r="AB22" s="11"/>
      <c r="AC22" s="13"/>
      <c r="AD22" s="9"/>
      <c r="AE22" s="9"/>
      <c r="AF22" s="9"/>
      <c r="AG22" s="13"/>
      <c r="AH22" s="15"/>
      <c r="AI22" s="11"/>
      <c r="AJ22" s="5"/>
      <c r="AK22" s="9"/>
      <c r="AL22" s="10"/>
      <c r="AM22" s="9"/>
      <c r="AN22" s="13"/>
      <c r="AO22" s="11"/>
      <c r="AP22" s="5"/>
      <c r="AQ22" s="9"/>
      <c r="AR22" s="10"/>
      <c r="AS22" s="9"/>
      <c r="AT22" s="13"/>
      <c r="AU22" s="17"/>
    </row>
    <row r="23" spans="1:47" x14ac:dyDescent="0.25">
      <c r="A23" s="1"/>
      <c r="B23" s="1"/>
      <c r="C23" s="4"/>
      <c r="D23" s="4"/>
      <c r="E23" s="4"/>
      <c r="F23" s="4"/>
      <c r="G23" s="26"/>
      <c r="H23" s="24"/>
      <c r="I23" s="8"/>
      <c r="J23" s="4"/>
      <c r="K23" s="6"/>
      <c r="L23" s="10"/>
      <c r="M23" s="6"/>
      <c r="N23" s="12"/>
      <c r="O23" s="8"/>
      <c r="P23" s="4"/>
      <c r="Q23" s="6"/>
      <c r="R23" s="7"/>
      <c r="S23" s="6"/>
      <c r="T23" s="12"/>
      <c r="U23" s="15"/>
      <c r="V23" s="8"/>
      <c r="W23" s="5"/>
      <c r="X23" s="6"/>
      <c r="Y23" s="7"/>
      <c r="Z23" s="6"/>
      <c r="AA23" s="12"/>
      <c r="AB23" s="11"/>
      <c r="AC23" s="12"/>
      <c r="AD23" s="6"/>
      <c r="AE23" s="6"/>
      <c r="AF23" s="6"/>
      <c r="AG23" s="12"/>
      <c r="AH23" s="15"/>
      <c r="AI23" s="8"/>
      <c r="AJ23" s="5"/>
      <c r="AK23" s="9"/>
      <c r="AL23" s="7"/>
      <c r="AM23" s="6"/>
      <c r="AN23" s="12"/>
      <c r="AO23" s="8"/>
      <c r="AP23" s="5"/>
      <c r="AQ23" s="9"/>
      <c r="AR23" s="7"/>
      <c r="AS23" s="6"/>
      <c r="AT23" s="12"/>
      <c r="AU23" s="17"/>
    </row>
    <row r="24" spans="1:47" x14ac:dyDescent="0.25">
      <c r="A24" s="1"/>
      <c r="B24" s="1"/>
      <c r="C24" s="5"/>
      <c r="D24" s="5"/>
      <c r="E24" s="5"/>
      <c r="F24" s="5"/>
      <c r="G24" s="26"/>
      <c r="H24" s="24"/>
      <c r="I24" s="8"/>
      <c r="J24" s="4"/>
      <c r="K24" s="6"/>
      <c r="L24" s="7"/>
      <c r="M24" s="6"/>
      <c r="N24" s="12"/>
      <c r="O24" s="11"/>
      <c r="P24" s="5"/>
      <c r="Q24" s="6"/>
      <c r="R24" s="9"/>
      <c r="S24" s="9"/>
      <c r="T24" s="13"/>
      <c r="U24" s="15"/>
      <c r="V24" s="11"/>
      <c r="W24" s="5"/>
      <c r="X24" s="9"/>
      <c r="Y24" s="10"/>
      <c r="Z24" s="9"/>
      <c r="AA24" s="13"/>
      <c r="AB24" s="11"/>
      <c r="AC24" s="13"/>
      <c r="AD24" s="9"/>
      <c r="AE24" s="9"/>
      <c r="AF24" s="9"/>
      <c r="AG24" s="13"/>
      <c r="AH24" s="15"/>
      <c r="AI24" s="11"/>
      <c r="AJ24" s="5"/>
      <c r="AK24" s="9"/>
      <c r="AL24" s="10"/>
      <c r="AM24" s="9"/>
      <c r="AN24" s="13"/>
      <c r="AO24" s="11"/>
      <c r="AP24" s="5"/>
      <c r="AQ24" s="9"/>
      <c r="AR24" s="10"/>
      <c r="AS24" s="9"/>
      <c r="AT24" s="13"/>
      <c r="AU24" s="17"/>
    </row>
    <row r="25" spans="1:47" x14ac:dyDescent="0.25">
      <c r="A25" s="1"/>
      <c r="B25" s="1"/>
      <c r="C25" s="5"/>
      <c r="D25" s="5"/>
      <c r="E25" s="5"/>
      <c r="F25" s="5"/>
      <c r="G25" s="26"/>
      <c r="H25" s="24"/>
      <c r="I25" s="8"/>
      <c r="J25" s="4"/>
      <c r="K25" s="6"/>
      <c r="L25" s="7"/>
      <c r="M25" s="6"/>
      <c r="N25" s="12"/>
      <c r="O25" s="11"/>
      <c r="P25" s="5"/>
      <c r="Q25" s="6"/>
      <c r="R25" s="9"/>
      <c r="S25" s="9"/>
      <c r="T25" s="13"/>
      <c r="U25" s="15"/>
      <c r="V25" s="11"/>
      <c r="W25" s="5"/>
      <c r="X25" s="9"/>
      <c r="Y25" s="10"/>
      <c r="Z25" s="9"/>
      <c r="AA25" s="13"/>
      <c r="AB25" s="11"/>
      <c r="AC25" s="13"/>
      <c r="AD25" s="9"/>
      <c r="AE25" s="9"/>
      <c r="AF25" s="9"/>
      <c r="AG25" s="13"/>
      <c r="AH25" s="15"/>
      <c r="AI25" s="11"/>
      <c r="AJ25" s="5"/>
      <c r="AK25" s="9"/>
      <c r="AL25" s="10"/>
      <c r="AM25" s="9"/>
      <c r="AN25" s="13"/>
      <c r="AO25" s="11"/>
      <c r="AP25" s="5"/>
      <c r="AQ25" s="9"/>
      <c r="AR25" s="10"/>
      <c r="AS25" s="9"/>
      <c r="AT25" s="13"/>
      <c r="AU25" s="17"/>
    </row>
    <row r="26" spans="1:47" x14ac:dyDescent="0.25">
      <c r="A26" s="1"/>
      <c r="B26" s="1"/>
      <c r="C26" s="5"/>
      <c r="D26" s="5"/>
      <c r="E26" s="5"/>
      <c r="F26" s="5"/>
      <c r="G26" s="26"/>
      <c r="H26" s="24"/>
      <c r="I26" s="8"/>
      <c r="J26" s="4"/>
      <c r="K26" s="6"/>
      <c r="L26" s="7"/>
      <c r="M26" s="6"/>
      <c r="N26" s="12"/>
      <c r="O26" s="11"/>
      <c r="P26" s="5"/>
      <c r="Q26" s="6"/>
      <c r="R26" s="9"/>
      <c r="S26" s="9"/>
      <c r="T26" s="13"/>
      <c r="U26" s="15"/>
      <c r="V26" s="11"/>
      <c r="W26" s="5"/>
      <c r="X26" s="9"/>
      <c r="Y26" s="10"/>
      <c r="Z26" s="9"/>
      <c r="AA26" s="13"/>
      <c r="AB26" s="11"/>
      <c r="AC26" s="13"/>
      <c r="AD26" s="9"/>
      <c r="AE26" s="9"/>
      <c r="AF26" s="9"/>
      <c r="AG26" s="13"/>
      <c r="AH26" s="15"/>
      <c r="AI26" s="11"/>
      <c r="AJ26" s="5"/>
      <c r="AK26" s="9"/>
      <c r="AL26" s="10"/>
      <c r="AM26" s="9"/>
      <c r="AN26" s="13"/>
      <c r="AO26" s="11"/>
      <c r="AP26" s="5"/>
      <c r="AQ26" s="9"/>
      <c r="AR26" s="10"/>
      <c r="AS26" s="9"/>
      <c r="AT26" s="13"/>
      <c r="AU26" s="17"/>
    </row>
    <row r="27" spans="1:47" x14ac:dyDescent="0.25">
      <c r="A27" s="1"/>
      <c r="B27" s="1"/>
      <c r="C27" s="5"/>
      <c r="D27" s="5"/>
      <c r="E27" s="5"/>
      <c r="F27" s="5"/>
      <c r="G27" s="26"/>
      <c r="H27" s="24"/>
      <c r="I27" s="8"/>
      <c r="J27" s="4"/>
      <c r="K27" s="6"/>
      <c r="L27" s="7"/>
      <c r="M27" s="6"/>
      <c r="N27" s="12"/>
      <c r="O27" s="11"/>
      <c r="P27" s="5"/>
      <c r="Q27" s="6"/>
      <c r="R27" s="9"/>
      <c r="S27" s="9"/>
      <c r="T27" s="13"/>
      <c r="U27" s="15"/>
      <c r="V27" s="11"/>
      <c r="W27" s="5"/>
      <c r="X27" s="9"/>
      <c r="Y27" s="10"/>
      <c r="Z27" s="9"/>
      <c r="AA27" s="13"/>
      <c r="AB27" s="11"/>
      <c r="AC27" s="13"/>
      <c r="AD27" s="9"/>
      <c r="AE27" s="9"/>
      <c r="AF27" s="9"/>
      <c r="AG27" s="13"/>
      <c r="AH27" s="15"/>
      <c r="AI27" s="11"/>
      <c r="AJ27" s="5"/>
      <c r="AK27" s="9"/>
      <c r="AL27" s="10"/>
      <c r="AM27" s="9"/>
      <c r="AN27" s="13"/>
      <c r="AO27" s="11"/>
      <c r="AP27" s="5"/>
      <c r="AQ27" s="9"/>
      <c r="AR27" s="10"/>
      <c r="AS27" s="9"/>
      <c r="AT27" s="13"/>
      <c r="AU27" s="17"/>
    </row>
    <row r="28" spans="1:47" x14ac:dyDescent="0.25">
      <c r="A28" s="1"/>
      <c r="B28" s="1"/>
      <c r="C28" s="5"/>
      <c r="D28" s="5"/>
      <c r="E28" s="5"/>
      <c r="F28" s="4"/>
      <c r="G28" s="26"/>
      <c r="H28" s="24"/>
      <c r="I28" s="8"/>
      <c r="J28" s="4"/>
      <c r="K28" s="6"/>
      <c r="L28" s="7"/>
      <c r="M28" s="6"/>
      <c r="N28" s="12"/>
      <c r="O28" s="11"/>
      <c r="P28" s="5"/>
      <c r="Q28" s="6"/>
      <c r="R28" s="10"/>
      <c r="S28" s="9"/>
      <c r="T28" s="13"/>
      <c r="U28" s="15"/>
      <c r="V28" s="11"/>
      <c r="W28" s="5"/>
      <c r="X28" s="9"/>
      <c r="Y28" s="10"/>
      <c r="Z28" s="9"/>
      <c r="AA28" s="13"/>
      <c r="AB28" s="11"/>
      <c r="AC28" s="13"/>
      <c r="AD28" s="9"/>
      <c r="AE28" s="9"/>
      <c r="AF28" s="9"/>
      <c r="AG28" s="13"/>
      <c r="AH28" s="15"/>
      <c r="AI28" s="11"/>
      <c r="AJ28" s="5"/>
      <c r="AK28" s="9"/>
      <c r="AL28" s="10"/>
      <c r="AM28" s="9"/>
      <c r="AN28" s="13"/>
      <c r="AO28" s="11"/>
      <c r="AP28" s="5"/>
      <c r="AQ28" s="9"/>
      <c r="AR28" s="10"/>
      <c r="AS28" s="9"/>
      <c r="AT28" s="13"/>
      <c r="AU28" s="17"/>
    </row>
    <row r="29" spans="1:47" x14ac:dyDescent="0.25">
      <c r="A29" s="1"/>
      <c r="B29" s="1"/>
      <c r="C29" s="5"/>
      <c r="D29" s="5"/>
      <c r="E29" s="5"/>
      <c r="F29" s="4"/>
      <c r="G29" s="26"/>
      <c r="H29" s="24"/>
      <c r="I29" s="8"/>
      <c r="J29" s="4"/>
      <c r="K29" s="6"/>
      <c r="L29" s="7"/>
      <c r="M29" s="6"/>
      <c r="N29" s="12"/>
      <c r="O29" s="11"/>
      <c r="P29" s="5"/>
      <c r="Q29" s="6"/>
      <c r="R29" s="10"/>
      <c r="S29" s="9"/>
      <c r="T29" s="13"/>
      <c r="U29" s="15"/>
      <c r="V29" s="11"/>
      <c r="W29" s="5"/>
      <c r="X29" s="9"/>
      <c r="Y29" s="10"/>
      <c r="Z29" s="9"/>
      <c r="AA29" s="13"/>
      <c r="AB29" s="11"/>
      <c r="AC29" s="13"/>
      <c r="AD29" s="9"/>
      <c r="AE29" s="9"/>
      <c r="AF29" s="9"/>
      <c r="AG29" s="13"/>
      <c r="AH29" s="15"/>
      <c r="AI29" s="11"/>
      <c r="AJ29" s="5"/>
      <c r="AK29" s="9"/>
      <c r="AL29" s="10"/>
      <c r="AM29" s="9"/>
      <c r="AN29" s="13"/>
      <c r="AO29" s="11"/>
      <c r="AP29" s="5"/>
      <c r="AQ29" s="9"/>
      <c r="AR29" s="10"/>
      <c r="AS29" s="9"/>
      <c r="AT29" s="13"/>
      <c r="AU29" s="17"/>
    </row>
    <row r="30" spans="1:47" x14ac:dyDescent="0.25">
      <c r="A30" s="1"/>
      <c r="B30" s="1"/>
      <c r="C30" s="5"/>
      <c r="D30" s="5"/>
      <c r="E30" s="5"/>
      <c r="F30" s="4"/>
      <c r="G30" s="26"/>
      <c r="H30" s="24"/>
      <c r="I30" s="19"/>
      <c r="J30" s="20"/>
      <c r="K30" s="21"/>
      <c r="L30" s="10"/>
      <c r="M30" s="21"/>
      <c r="N30" s="23"/>
      <c r="O30" s="11"/>
      <c r="P30" s="5"/>
      <c r="Q30" s="6"/>
      <c r="R30" s="10"/>
      <c r="S30" s="9"/>
      <c r="T30" s="13"/>
      <c r="U30" s="15"/>
      <c r="V30" s="11"/>
      <c r="W30" s="5"/>
      <c r="X30" s="9"/>
      <c r="Y30" s="10"/>
      <c r="Z30" s="9"/>
      <c r="AA30" s="13"/>
      <c r="AB30" s="11"/>
      <c r="AC30" s="13"/>
      <c r="AD30" s="9"/>
      <c r="AE30" s="9"/>
      <c r="AF30" s="9"/>
      <c r="AG30" s="13"/>
      <c r="AH30" s="15"/>
      <c r="AI30" s="11"/>
      <c r="AJ30" s="5"/>
      <c r="AK30" s="9"/>
      <c r="AL30" s="10"/>
      <c r="AM30" s="9"/>
      <c r="AN30" s="13"/>
      <c r="AO30" s="11"/>
      <c r="AP30" s="5"/>
      <c r="AQ30" s="9"/>
      <c r="AR30" s="10"/>
      <c r="AS30" s="9"/>
      <c r="AT30" s="13"/>
      <c r="AU30" s="17"/>
    </row>
    <row r="31" spans="1:47" x14ac:dyDescent="0.25">
      <c r="A31" s="1"/>
      <c r="B31" s="1"/>
      <c r="C31" s="5"/>
      <c r="D31" s="5"/>
      <c r="E31" s="5"/>
      <c r="F31" s="5"/>
      <c r="G31" s="26"/>
      <c r="H31" s="24"/>
      <c r="I31" s="19"/>
      <c r="J31" s="20"/>
      <c r="K31" s="21"/>
      <c r="L31" s="10"/>
      <c r="M31" s="21"/>
      <c r="N31" s="23"/>
      <c r="O31" s="11"/>
      <c r="P31" s="5"/>
      <c r="Q31" s="6"/>
      <c r="R31" s="10"/>
      <c r="S31" s="9"/>
      <c r="T31" s="13"/>
      <c r="U31" s="15"/>
      <c r="V31" s="8"/>
      <c r="W31" s="5"/>
      <c r="X31" s="9"/>
      <c r="Y31" s="10"/>
      <c r="Z31" s="9"/>
      <c r="AA31" s="13"/>
      <c r="AB31" s="11"/>
      <c r="AC31" s="13"/>
      <c r="AD31" s="9"/>
      <c r="AE31" s="9"/>
      <c r="AF31" s="9"/>
      <c r="AG31" s="13"/>
      <c r="AH31" s="15"/>
      <c r="AI31" s="11"/>
      <c r="AJ31" s="5"/>
      <c r="AK31" s="9"/>
      <c r="AL31" s="10"/>
      <c r="AM31" s="9"/>
      <c r="AN31" s="13"/>
      <c r="AO31" s="11"/>
      <c r="AP31" s="5"/>
      <c r="AQ31" s="9"/>
      <c r="AR31" s="10"/>
      <c r="AS31" s="9"/>
      <c r="AT31" s="13"/>
      <c r="AU31" s="17"/>
    </row>
    <row r="32" spans="1:47" x14ac:dyDescent="0.25">
      <c r="A32" s="1"/>
      <c r="B32" s="1"/>
      <c r="C32" s="5"/>
      <c r="D32" s="5"/>
      <c r="E32" s="5"/>
      <c r="F32" s="5"/>
      <c r="G32" s="26"/>
      <c r="H32" s="24"/>
      <c r="I32" s="11"/>
      <c r="J32" s="4"/>
      <c r="K32" s="9"/>
      <c r="L32" s="10"/>
      <c r="M32" s="9"/>
      <c r="N32" s="12"/>
      <c r="O32" s="8"/>
      <c r="P32" s="5"/>
      <c r="Q32" s="6"/>
      <c r="R32" s="7"/>
      <c r="S32" s="6"/>
      <c r="T32" s="12"/>
      <c r="U32" s="15"/>
      <c r="V32" s="11"/>
      <c r="W32" s="5"/>
      <c r="X32" s="9"/>
      <c r="Y32" s="7"/>
      <c r="Z32" s="9"/>
      <c r="AA32" s="12"/>
      <c r="AB32" s="11"/>
      <c r="AC32" s="12"/>
      <c r="AD32" s="9"/>
      <c r="AE32" s="9"/>
      <c r="AF32" s="9"/>
      <c r="AG32" s="12"/>
      <c r="AH32" s="15"/>
      <c r="AI32" s="11"/>
      <c r="AJ32" s="5"/>
      <c r="AK32" s="9"/>
      <c r="AL32" s="7"/>
      <c r="AM32" s="9"/>
      <c r="AN32" s="12"/>
      <c r="AO32" s="11"/>
      <c r="AP32" s="5"/>
      <c r="AQ32" s="9"/>
      <c r="AR32" s="7"/>
      <c r="AS32" s="9"/>
      <c r="AT32" s="12"/>
      <c r="AU32" s="17"/>
    </row>
    <row r="33" spans="1:47" x14ac:dyDescent="0.25">
      <c r="A33" s="1"/>
      <c r="B33" s="1"/>
      <c r="C33" s="5"/>
      <c r="D33" s="5"/>
      <c r="E33" s="5"/>
      <c r="F33" s="5"/>
      <c r="G33" s="26"/>
      <c r="H33" s="24"/>
      <c r="I33" s="8"/>
      <c r="J33" s="4"/>
      <c r="K33" s="6"/>
      <c r="L33" s="7"/>
      <c r="M33" s="6"/>
      <c r="N33" s="12"/>
      <c r="O33" s="8"/>
      <c r="P33" s="4"/>
      <c r="Q33" s="6"/>
      <c r="R33" s="7"/>
      <c r="S33" s="6"/>
      <c r="T33" s="12"/>
      <c r="U33" s="15"/>
      <c r="V33" s="8"/>
      <c r="W33" s="5"/>
      <c r="X33" s="9"/>
      <c r="Y33" s="10"/>
      <c r="Z33" s="9"/>
      <c r="AA33" s="13"/>
      <c r="AB33" s="11"/>
      <c r="AC33" s="13"/>
      <c r="AD33" s="9"/>
      <c r="AE33" s="9"/>
      <c r="AF33" s="9"/>
      <c r="AG33" s="13"/>
      <c r="AH33" s="15"/>
      <c r="AI33" s="11"/>
      <c r="AJ33" s="5"/>
      <c r="AK33" s="9"/>
      <c r="AL33" s="10"/>
      <c r="AM33" s="9"/>
      <c r="AN33" s="13"/>
      <c r="AO33" s="11"/>
      <c r="AP33" s="5"/>
      <c r="AQ33" s="9"/>
      <c r="AR33" s="10"/>
      <c r="AS33" s="9"/>
      <c r="AT33" s="13"/>
      <c r="AU33" s="17"/>
    </row>
    <row r="34" spans="1:47" x14ac:dyDescent="0.25">
      <c r="A34" s="1"/>
      <c r="B34" s="1"/>
      <c r="C34" s="5"/>
      <c r="D34" s="5"/>
      <c r="E34" s="5"/>
      <c r="F34" s="5"/>
      <c r="G34" s="26"/>
      <c r="H34" s="24"/>
      <c r="I34" s="19"/>
      <c r="J34" s="20"/>
      <c r="K34" s="21"/>
      <c r="L34" s="10"/>
      <c r="M34" s="21"/>
      <c r="N34" s="23"/>
      <c r="O34" s="11"/>
      <c r="P34" s="5"/>
      <c r="Q34" s="6"/>
      <c r="R34" s="10"/>
      <c r="S34" s="9"/>
      <c r="T34" s="13"/>
      <c r="U34" s="15"/>
      <c r="V34" s="11"/>
      <c r="W34" s="5"/>
      <c r="X34" s="9"/>
      <c r="Y34" s="10"/>
      <c r="Z34" s="9"/>
      <c r="AA34" s="13"/>
      <c r="AB34" s="11"/>
      <c r="AC34" s="13"/>
      <c r="AD34" s="9"/>
      <c r="AE34" s="9"/>
      <c r="AF34" s="9"/>
      <c r="AG34" s="13"/>
      <c r="AH34" s="15"/>
      <c r="AI34" s="8"/>
      <c r="AJ34" s="5"/>
      <c r="AK34" s="9"/>
      <c r="AL34" s="10"/>
      <c r="AM34" s="9"/>
      <c r="AN34" s="13"/>
      <c r="AO34" s="11"/>
      <c r="AP34" s="5"/>
      <c r="AQ34" s="9"/>
      <c r="AR34" s="10"/>
      <c r="AS34" s="9"/>
      <c r="AT34" s="13"/>
      <c r="AU34" s="17"/>
    </row>
    <row r="35" spans="1:47" x14ac:dyDescent="0.25">
      <c r="A35" s="1"/>
      <c r="B35" s="1"/>
      <c r="C35" s="4"/>
      <c r="D35" s="4"/>
      <c r="E35" s="4"/>
      <c r="F35" s="4"/>
      <c r="G35" s="26"/>
      <c r="H35" s="24"/>
      <c r="I35" s="8"/>
      <c r="J35" s="4"/>
      <c r="K35" s="6"/>
      <c r="L35" s="10"/>
      <c r="M35" s="6"/>
      <c r="N35" s="12"/>
      <c r="O35" s="8"/>
      <c r="P35" s="4"/>
      <c r="Q35" s="6"/>
      <c r="R35" s="7"/>
      <c r="S35" s="6"/>
      <c r="T35" s="12"/>
      <c r="U35" s="15"/>
      <c r="V35" s="11"/>
      <c r="W35" s="5"/>
      <c r="X35" s="6"/>
      <c r="Y35" s="7"/>
      <c r="Z35" s="6"/>
      <c r="AA35" s="12"/>
      <c r="AB35" s="8"/>
      <c r="AC35" s="12"/>
      <c r="AD35" s="6"/>
      <c r="AE35" s="6"/>
      <c r="AF35" s="6"/>
      <c r="AG35" s="12"/>
      <c r="AH35" s="15"/>
      <c r="AI35" s="8"/>
      <c r="AJ35" s="5"/>
      <c r="AK35" s="9"/>
      <c r="AL35" s="7"/>
      <c r="AM35" s="6"/>
      <c r="AN35" s="12"/>
      <c r="AO35" s="8"/>
      <c r="AP35" s="5"/>
      <c r="AQ35" s="9"/>
      <c r="AR35" s="7"/>
      <c r="AS35" s="6"/>
      <c r="AT35" s="12"/>
      <c r="AU35" s="17"/>
    </row>
    <row r="36" spans="1:47" x14ac:dyDescent="0.25">
      <c r="A36" s="1"/>
      <c r="B36" s="1"/>
      <c r="C36" s="5"/>
      <c r="D36" s="5"/>
      <c r="E36" s="5"/>
      <c r="F36" s="5"/>
      <c r="G36" s="26"/>
      <c r="H36" s="24"/>
      <c r="I36" s="19"/>
      <c r="J36" s="20"/>
      <c r="K36" s="21"/>
      <c r="L36" s="10"/>
      <c r="M36" s="21"/>
      <c r="N36" s="23"/>
      <c r="O36" s="11"/>
      <c r="P36" s="5"/>
      <c r="Q36" s="6"/>
      <c r="R36" s="10"/>
      <c r="S36" s="9"/>
      <c r="T36" s="13"/>
      <c r="U36" s="15"/>
      <c r="V36" s="11"/>
      <c r="W36" s="5"/>
      <c r="X36" s="9"/>
      <c r="Y36" s="10"/>
      <c r="Z36" s="9"/>
      <c r="AA36" s="13"/>
      <c r="AB36" s="11"/>
      <c r="AC36" s="13"/>
      <c r="AD36" s="9"/>
      <c r="AE36" s="9"/>
      <c r="AF36" s="9"/>
      <c r="AG36" s="13"/>
      <c r="AH36" s="15"/>
      <c r="AI36" s="8"/>
      <c r="AJ36" s="5"/>
      <c r="AK36" s="9"/>
      <c r="AL36" s="10"/>
      <c r="AM36" s="9"/>
      <c r="AN36" s="13"/>
      <c r="AO36" s="11"/>
      <c r="AP36" s="5"/>
      <c r="AQ36" s="9"/>
      <c r="AR36" s="10"/>
      <c r="AS36" s="9"/>
      <c r="AT36" s="13"/>
      <c r="AU36" s="17"/>
    </row>
    <row r="37" spans="1:47" x14ac:dyDescent="0.25">
      <c r="A37" s="1"/>
      <c r="B37" s="1"/>
      <c r="C37" s="4"/>
      <c r="D37" s="4"/>
      <c r="E37" s="4"/>
      <c r="F37" s="4"/>
      <c r="G37" s="26"/>
      <c r="H37" s="24"/>
      <c r="I37" s="8"/>
      <c r="J37" s="4"/>
      <c r="K37" s="6"/>
      <c r="L37" s="10"/>
      <c r="M37" s="6"/>
      <c r="N37" s="12"/>
      <c r="O37" s="8"/>
      <c r="P37" s="4"/>
      <c r="Q37" s="6"/>
      <c r="R37" s="7"/>
      <c r="S37" s="6"/>
      <c r="T37" s="12"/>
      <c r="U37" s="15"/>
      <c r="V37" s="8"/>
      <c r="W37" s="5"/>
      <c r="X37" s="6"/>
      <c r="Y37" s="7"/>
      <c r="Z37" s="6"/>
      <c r="AA37" s="12"/>
      <c r="AB37" s="8"/>
      <c r="AC37" s="12"/>
      <c r="AD37" s="6"/>
      <c r="AE37" s="6"/>
      <c r="AF37" s="6"/>
      <c r="AG37" s="12"/>
      <c r="AH37" s="15"/>
      <c r="AI37" s="8"/>
      <c r="AJ37" s="5"/>
      <c r="AK37" s="9"/>
      <c r="AL37" s="7"/>
      <c r="AM37" s="6"/>
      <c r="AN37" s="12"/>
      <c r="AO37" s="8"/>
      <c r="AP37" s="5"/>
      <c r="AQ37" s="9"/>
      <c r="AR37" s="7"/>
      <c r="AS37" s="6"/>
      <c r="AT37" s="12"/>
      <c r="AU37" s="17"/>
    </row>
    <row r="38" spans="1:47" x14ac:dyDescent="0.25">
      <c r="A38" s="18"/>
      <c r="B38" s="1"/>
      <c r="C38" s="5"/>
      <c r="D38" s="5"/>
      <c r="E38" s="5"/>
      <c r="F38" s="5"/>
      <c r="G38" s="26"/>
      <c r="H38" s="25"/>
      <c r="I38" s="19"/>
      <c r="J38" s="20"/>
      <c r="K38" s="21"/>
      <c r="L38" s="22"/>
      <c r="M38" s="21"/>
      <c r="N38" s="23"/>
      <c r="O38" s="5"/>
      <c r="P38" s="5"/>
      <c r="Q38" s="6"/>
      <c r="R38" s="10"/>
      <c r="S38" s="9"/>
      <c r="T38" s="9"/>
      <c r="U38" s="15"/>
      <c r="V38" s="11"/>
      <c r="W38" s="5"/>
      <c r="X38" s="9"/>
      <c r="Y38" s="10"/>
      <c r="Z38" s="9"/>
      <c r="AA38" s="13"/>
      <c r="AB38" s="11"/>
      <c r="AC38" s="13"/>
      <c r="AD38" s="9"/>
      <c r="AE38" s="9"/>
      <c r="AF38" s="9"/>
      <c r="AG38" s="13"/>
      <c r="AH38" s="15"/>
      <c r="AI38" s="11"/>
      <c r="AJ38" s="5"/>
      <c r="AK38" s="9"/>
      <c r="AL38" s="10"/>
      <c r="AM38" s="9"/>
      <c r="AN38" s="13"/>
      <c r="AO38" s="11"/>
      <c r="AP38" s="5"/>
      <c r="AQ38" s="9"/>
      <c r="AR38" s="10"/>
      <c r="AS38" s="9"/>
      <c r="AT38" s="13"/>
      <c r="AU38" s="17"/>
    </row>
    <row r="39" spans="1:47" x14ac:dyDescent="0.25">
      <c r="A39" s="1"/>
      <c r="B39" s="1"/>
      <c r="C39" s="4"/>
      <c r="D39" s="4"/>
      <c r="E39" s="4"/>
      <c r="F39" s="4"/>
      <c r="G39" s="26"/>
      <c r="H39" s="24"/>
      <c r="I39" s="8"/>
      <c r="J39" s="4"/>
      <c r="K39" s="6"/>
      <c r="L39" s="10"/>
      <c r="M39" s="6"/>
      <c r="N39" s="12"/>
      <c r="O39" s="8"/>
      <c r="P39" s="4"/>
      <c r="Q39" s="6"/>
      <c r="R39" s="7"/>
      <c r="S39" s="6"/>
      <c r="T39" s="12"/>
      <c r="U39" s="15"/>
      <c r="V39" s="8"/>
      <c r="W39" s="5"/>
      <c r="X39" s="6"/>
      <c r="Y39" s="7"/>
      <c r="Z39" s="6"/>
      <c r="AA39" s="12"/>
      <c r="AB39" s="11"/>
      <c r="AC39" s="12"/>
      <c r="AD39" s="6"/>
      <c r="AE39" s="6"/>
      <c r="AF39" s="6"/>
      <c r="AG39" s="12"/>
      <c r="AH39" s="15"/>
      <c r="AI39" s="8"/>
      <c r="AJ39" s="5"/>
      <c r="AK39" s="9"/>
      <c r="AL39" s="7"/>
      <c r="AM39" s="6"/>
      <c r="AN39" s="12"/>
      <c r="AO39" s="8"/>
      <c r="AP39" s="5"/>
      <c r="AQ39" s="9"/>
      <c r="AR39" s="7"/>
      <c r="AS39" s="6"/>
      <c r="AT39" s="12"/>
      <c r="AU39" s="17"/>
    </row>
    <row r="40" spans="1:47" x14ac:dyDescent="0.25">
      <c r="A40" s="1"/>
      <c r="B40" s="1"/>
      <c r="C40" s="5"/>
      <c r="D40" s="5"/>
      <c r="E40" s="5"/>
      <c r="F40" s="4"/>
      <c r="G40" s="26"/>
      <c r="H40" s="24"/>
      <c r="I40" s="19"/>
      <c r="J40" s="20"/>
      <c r="K40" s="21"/>
      <c r="L40" s="10"/>
      <c r="M40" s="21"/>
      <c r="N40" s="23"/>
      <c r="O40" s="11"/>
      <c r="P40" s="5"/>
      <c r="Q40" s="6"/>
      <c r="R40" s="10"/>
      <c r="S40" s="9"/>
      <c r="T40" s="13"/>
      <c r="U40" s="15"/>
      <c r="V40" s="11"/>
      <c r="W40" s="5"/>
      <c r="X40" s="9"/>
      <c r="Y40" s="10"/>
      <c r="Z40" s="9"/>
      <c r="AA40" s="13"/>
      <c r="AB40" s="11"/>
      <c r="AC40" s="13"/>
      <c r="AD40" s="9"/>
      <c r="AE40" s="9"/>
      <c r="AF40" s="9"/>
      <c r="AG40" s="13"/>
      <c r="AH40" s="15"/>
      <c r="AI40" s="11"/>
      <c r="AJ40" s="5"/>
      <c r="AK40" s="9"/>
      <c r="AL40" s="10"/>
      <c r="AM40" s="9"/>
      <c r="AN40" s="13"/>
      <c r="AO40" s="11"/>
      <c r="AP40" s="5"/>
      <c r="AQ40" s="9"/>
      <c r="AR40" s="10"/>
      <c r="AS40" s="9"/>
      <c r="AT40" s="13"/>
      <c r="AU40" s="17"/>
    </row>
  </sheetData>
  <mergeCells count="7">
    <mergeCell ref="G1:H1"/>
    <mergeCell ref="AO1:AT1"/>
    <mergeCell ref="AI1:AN1"/>
    <mergeCell ref="I1:N1"/>
    <mergeCell ref="V1:AA1"/>
    <mergeCell ref="AB1:AG1"/>
    <mergeCell ref="O1:T1"/>
  </mergeCells>
  <pageMargins left="0.7" right="0.7" top="0.75" bottom="0.75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09"/>
  <sheetViews>
    <sheetView zoomScale="85" zoomScaleNormal="85" workbookViewId="0">
      <pane xSplit="1" topLeftCell="B1" activePane="topRight" state="frozen"/>
      <selection pane="topRight" activeCell="G104" sqref="G104"/>
    </sheetView>
  </sheetViews>
  <sheetFormatPr defaultColWidth="9.140625" defaultRowHeight="15" x14ac:dyDescent="0.25"/>
  <cols>
    <col min="1" max="1" width="11.85546875" customWidth="1"/>
    <col min="2" max="2" width="10" bestFit="1" customWidth="1"/>
    <col min="3" max="3" width="10" hidden="1" customWidth="1"/>
    <col min="4" max="4" width="5" bestFit="1" customWidth="1"/>
    <col min="5" max="5" width="5" customWidth="1"/>
    <col min="6" max="6" width="2.5703125" customWidth="1"/>
    <col min="7" max="7" width="11.42578125" bestFit="1" customWidth="1"/>
    <col min="8" max="8" width="12.7109375" customWidth="1"/>
    <col min="9" max="9" width="8.28515625" customWidth="1"/>
    <col min="10" max="10" width="7.28515625" customWidth="1"/>
    <col min="11" max="11" width="8.7109375" customWidth="1"/>
    <col min="12" max="12" width="8.140625" customWidth="1"/>
    <col min="13" max="13" width="11.7109375" customWidth="1"/>
    <col min="14" max="14" width="9.85546875" customWidth="1"/>
    <col min="15" max="15" width="7.85546875" customWidth="1"/>
    <col min="16" max="16" width="7.28515625" customWidth="1"/>
    <col min="17" max="19" width="9" customWidth="1"/>
    <col min="20" max="20" width="10.28515625" customWidth="1"/>
    <col min="21" max="21" width="8.28515625" customWidth="1"/>
    <col min="22" max="22" width="8" customWidth="1"/>
    <col min="24" max="24" width="10.5703125" customWidth="1"/>
    <col min="25" max="25" width="10" customWidth="1"/>
    <col min="26" max="27" width="11.28515625" customWidth="1"/>
    <col min="28" max="28" width="9.5703125" customWidth="1"/>
    <col min="29" max="29" width="8.7109375" customWidth="1"/>
    <col min="30" max="30" width="7.85546875" customWidth="1"/>
    <col min="31" max="31" width="9.85546875" customWidth="1"/>
    <col min="32" max="32" width="8.5703125" customWidth="1"/>
    <col min="33" max="34" width="9" customWidth="1"/>
    <col min="35" max="35" width="8" customWidth="1"/>
    <col min="37" max="37" width="10.5703125" customWidth="1"/>
    <col min="38" max="38" width="10" customWidth="1"/>
    <col min="39" max="40" width="11.28515625" customWidth="1"/>
    <col min="41" max="41" width="8" customWidth="1"/>
    <col min="43" max="43" width="10.5703125" customWidth="1"/>
    <col min="44" max="44" width="10" customWidth="1"/>
    <col min="45" max="46" width="11.28515625" customWidth="1"/>
    <col min="47" max="47" width="9" customWidth="1"/>
  </cols>
  <sheetData>
    <row r="1" spans="1:47" x14ac:dyDescent="0.25">
      <c r="A1" s="2"/>
      <c r="B1" s="2"/>
      <c r="C1" s="2"/>
      <c r="D1" s="2"/>
      <c r="E1" s="2"/>
      <c r="F1" s="2"/>
      <c r="G1" s="28" t="s">
        <v>39</v>
      </c>
      <c r="H1" s="29"/>
      <c r="I1" s="30" t="s">
        <v>129</v>
      </c>
      <c r="J1" s="30"/>
      <c r="K1" s="30"/>
      <c r="L1" s="30"/>
      <c r="M1" s="30"/>
      <c r="N1" s="30"/>
      <c r="O1" s="31" t="s">
        <v>96</v>
      </c>
      <c r="P1" s="31"/>
      <c r="Q1" s="31"/>
      <c r="R1" s="31"/>
      <c r="S1" s="31"/>
      <c r="T1" s="31"/>
      <c r="U1" s="14" t="s">
        <v>36</v>
      </c>
      <c r="V1" s="32" t="s">
        <v>20</v>
      </c>
      <c r="W1" s="32"/>
      <c r="X1" s="32"/>
      <c r="Y1" s="32"/>
      <c r="Z1" s="32"/>
      <c r="AA1" s="32"/>
      <c r="AB1" s="33" t="s">
        <v>26</v>
      </c>
      <c r="AC1" s="33"/>
      <c r="AD1" s="33"/>
      <c r="AE1" s="33"/>
      <c r="AF1" s="33"/>
      <c r="AG1" s="33"/>
      <c r="AH1" s="14" t="s">
        <v>37</v>
      </c>
      <c r="AI1" s="34" t="s">
        <v>40</v>
      </c>
      <c r="AJ1" s="34"/>
      <c r="AK1" s="34"/>
      <c r="AL1" s="34"/>
      <c r="AM1" s="34"/>
      <c r="AN1" s="34"/>
      <c r="AO1" s="27" t="s">
        <v>49</v>
      </c>
      <c r="AP1" s="27"/>
      <c r="AQ1" s="27"/>
      <c r="AR1" s="27"/>
      <c r="AS1" s="27"/>
      <c r="AT1" s="27"/>
      <c r="AU1" s="14" t="s">
        <v>47</v>
      </c>
    </row>
    <row r="2" spans="1:47" x14ac:dyDescent="0.25">
      <c r="A2" s="3" t="s">
        <v>0</v>
      </c>
      <c r="B2" s="3" t="s">
        <v>1</v>
      </c>
      <c r="C2" s="3" t="s">
        <v>17</v>
      </c>
      <c r="D2" s="3" t="s">
        <v>16</v>
      </c>
      <c r="E2" s="3" t="s">
        <v>18</v>
      </c>
      <c r="F2" s="3" t="s">
        <v>27</v>
      </c>
      <c r="G2" s="3" t="s">
        <v>2</v>
      </c>
      <c r="H2" s="3" t="s">
        <v>21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28</v>
      </c>
      <c r="P2" s="3" t="s">
        <v>29</v>
      </c>
      <c r="Q2" s="3" t="s">
        <v>30</v>
      </c>
      <c r="R2" s="3" t="s">
        <v>31</v>
      </c>
      <c r="S2" s="3" t="s">
        <v>32</v>
      </c>
      <c r="T2" s="3" t="s">
        <v>33</v>
      </c>
      <c r="U2" s="3" t="s">
        <v>35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19</v>
      </c>
      <c r="AA2" s="3" t="s">
        <v>13</v>
      </c>
      <c r="AB2" s="3" t="s">
        <v>14</v>
      </c>
      <c r="AC2" s="3" t="s">
        <v>22</v>
      </c>
      <c r="AD2" s="3" t="s">
        <v>23</v>
      </c>
      <c r="AE2" s="3" t="s">
        <v>24</v>
      </c>
      <c r="AF2" s="3" t="s">
        <v>25</v>
      </c>
      <c r="AG2" s="3" t="s">
        <v>15</v>
      </c>
      <c r="AH2" s="3" t="s">
        <v>38</v>
      </c>
      <c r="AI2" s="3" t="s">
        <v>41</v>
      </c>
      <c r="AJ2" s="3" t="s">
        <v>42</v>
      </c>
      <c r="AK2" s="3" t="s">
        <v>43</v>
      </c>
      <c r="AL2" s="3" t="s">
        <v>44</v>
      </c>
      <c r="AM2" s="3" t="s">
        <v>45</v>
      </c>
      <c r="AN2" s="3" t="s">
        <v>46</v>
      </c>
      <c r="AO2" s="3" t="s">
        <v>50</v>
      </c>
      <c r="AP2" s="3" t="s">
        <v>51</v>
      </c>
      <c r="AQ2" s="3" t="s">
        <v>52</v>
      </c>
      <c r="AR2" s="3" t="s">
        <v>53</v>
      </c>
      <c r="AS2" s="3" t="s">
        <v>54</v>
      </c>
      <c r="AT2" s="3" t="s">
        <v>55</v>
      </c>
      <c r="AU2" s="16" t="s">
        <v>48</v>
      </c>
    </row>
    <row r="3" spans="1:47" x14ac:dyDescent="0.25">
      <c r="A3" s="18" t="s">
        <v>73</v>
      </c>
      <c r="B3" s="1" t="s">
        <v>74</v>
      </c>
      <c r="C3" s="5"/>
      <c r="D3" s="5">
        <v>1996</v>
      </c>
      <c r="E3" s="5">
        <f>IF(Table13[[#This Row],[JG]],2026-Table13[[#This Row],[JG]],0)</f>
        <v>30</v>
      </c>
      <c r="F3" s="5"/>
      <c r="G3" s="26">
        <f>SUM(U3, AH3, AU3)</f>
        <v>2725.7543776647408</v>
      </c>
      <c r="H3" s="24">
        <f>_xlfn.RANK.EQ(Table13[[#This Row],[Gesamtpunkte]],Table13[Gesamtpunkte],0)</f>
        <v>1</v>
      </c>
      <c r="I3" s="8"/>
      <c r="J3" s="4" t="str">
        <f>IF(Table13[[#This Row],[Zeit LSC]]&gt;0,_xlfn.RANK.EQ(Table13[[#This Row],[Punkte LSC]],Table13[Punkte LSC],0)," ")</f>
        <v xml:space="preserve"> </v>
      </c>
      <c r="K3" s="6">
        <f>IF(Table13[[#This Row],[Zeit LSC]]&gt;0,MIN(Table13[Zeit LSC])/Table13[[#This Row],[Zeit LSC]]*1000,0)</f>
        <v>0</v>
      </c>
      <c r="L3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" s="6">
        <f>(Table13[[#This Row],[Punkte LSC]]+Table13[[#This Row],[Bonus LSC]])</f>
        <v>0</v>
      </c>
      <c r="N3" s="12" t="str">
        <f>IF(Table13[[#This Row],[Zeit LSC]]&gt;0,_xlfn.RANK.EQ(Table13[[#This Row],[Gesamt LSC]],Table13[Gesamt LSC],0)," ")</f>
        <v xml:space="preserve"> </v>
      </c>
      <c r="O3" s="8">
        <v>1.7534722222222222E-2</v>
      </c>
      <c r="P3" s="4">
        <f>IF(Table13[[#This Row],[Zeit LKC]]&gt;0,_xlfn.RANK.EQ(Table13[[#This Row],[Punkte LKC]],Table13[Punkte LKC],0)," ")</f>
        <v>4</v>
      </c>
      <c r="Q3" s="6">
        <f>IF(Table13[[#This Row],[Zeit LKC]]&gt;0,MIN(Table13[Zeit LKC])/Table13[[#This Row],[Zeit LKC]]*1000,0)</f>
        <v>793.39933993399336</v>
      </c>
      <c r="R3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" s="6">
        <f>(Table13[[#This Row],[Punkte LKC]]+Table13[[#This Row],[Bonus LKC]])</f>
        <v>793.39933993399336</v>
      </c>
      <c r="T3" s="12">
        <f>IF(Table13[[#This Row],[Zeit LKC]]&gt;0,_xlfn.RANK.EQ(Table13[[#This Row],[Gesamt LKC]],Table13[Gesamt LKC],0)," ")</f>
        <v>4</v>
      </c>
      <c r="U3" s="15">
        <f>MAX( S3,M3)</f>
        <v>793.39933993399336</v>
      </c>
      <c r="V3" s="11">
        <v>3.3159722222222222E-2</v>
      </c>
      <c r="W3" s="5">
        <f>IF(Table13[[#This Row],[Zeit S&amp;R]]&gt;0,_xlfn.RANK.EQ(Table13[[#This Row],[Punkte S&amp;R]],Table13[Punkte S&amp;R],0)," ")</f>
        <v>6</v>
      </c>
      <c r="X3" s="9">
        <f>IF(Table13[[#This Row],[Zeit S&amp;R]]&gt;0,MIN(Table13[Zeit S&amp;R])/Table13[[#This Row],[Zeit S&amp;R]]*1000,0)</f>
        <v>951.13438045375221</v>
      </c>
      <c r="Y3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" s="9">
        <f>(Table13[[#This Row],[Punkte S&amp;R]]+Table13[[#This Row],[Bonus S&amp;R]])</f>
        <v>951.13438045375221</v>
      </c>
      <c r="AA3" s="13">
        <f>IF(Table13[[#This Row],[Zeit S&amp;R]]&gt;0,_xlfn.RANK.EQ(Table13[[#This Row],[Gesamt S&amp;R]],Table13[Gesamt S&amp;R],0)," ")</f>
        <v>6</v>
      </c>
      <c r="AB3" s="11"/>
      <c r="AC3" s="13" t="str">
        <f>IF(Table13[[#This Row],[Zeit LC]]&gt;0,_xlfn.RANK.EQ(Table13[[#This Row],[Punkte LC]],Table13[Punkte LC],0)," ")</f>
        <v xml:space="preserve"> </v>
      </c>
      <c r="AD3" s="9">
        <f>IF(Table13[[#This Row],[Zeit LC]]&gt;0,MIN(Table13[Zeit LC])/Table13[[#This Row],[Zeit LC]]*1000,0)</f>
        <v>0</v>
      </c>
      <c r="AE3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" s="9">
        <f>(Table13[[#This Row],[Punkte LC]]+Table13[[#This Row],[Bonus LC]])</f>
        <v>0</v>
      </c>
      <c r="AG3" s="13" t="str">
        <f>IF(Table13[[#This Row],[Zeit LC]]&gt;0,_xlfn.RANK.EQ(Table13[[#This Row],[Gesamt LC]],Table13[Gesamt LC],0)," ")</f>
        <v xml:space="preserve"> </v>
      </c>
      <c r="AH3" s="15">
        <f>MAX( Z3,AF3)</f>
        <v>951.13438045375221</v>
      </c>
      <c r="AI3" s="11"/>
      <c r="AJ3" s="5" t="str">
        <f>IF(Table13[[#This Row],[Zeit BZF]]&gt;0,_xlfn.RANK.EQ(Table13[[#This Row],[Punkte BZF]],Table13[Punkte BZF],0)," ")</f>
        <v xml:space="preserve"> </v>
      </c>
      <c r="AK3" s="9">
        <f>IF(Table13[[#This Row],[Zeit BZF]]&gt;0,MIN(Table13[Zeit BZF])/Table13[[#This Row],[Zeit BZF]]*1000,0)</f>
        <v>0</v>
      </c>
      <c r="AL3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" s="9">
        <f>(Table13[[#This Row],[Punkte BZF]]+Table13[[#This Row],[Bonus BZF]])</f>
        <v>0</v>
      </c>
      <c r="AN3" s="13" t="str">
        <f>IF(Table13[[#This Row],[Zeit BZF]]&gt;0,_xlfn.RANK.EQ(Table13[[#This Row],[Gesamt BZF]],Table13[Gesamt BZF],0)," ")</f>
        <v xml:space="preserve"> </v>
      </c>
      <c r="AO3" s="11">
        <v>1.9722222222222221E-2</v>
      </c>
      <c r="AP3" s="5">
        <f>IF(Table13[[#This Row],[Zeit EZF]]&gt;0,_xlfn.RANK.EQ(Table13[[#This Row],[Punkte EZF]],Table13[Punkte EZF],0)," ")</f>
        <v>2</v>
      </c>
      <c r="AQ3" s="9">
        <f>IF(Table13[[#This Row],[Zeit EZF]]&gt;0,MIN(Table13[Zeit EZF])/Table13[[#This Row],[Zeit EZF]]*1000,0)</f>
        <v>981.22065727699533</v>
      </c>
      <c r="AR3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" s="9">
        <f>(Table13[[#This Row],[Punkte EZF]]+Table13[[#This Row],[Bonus EZF]])</f>
        <v>981.22065727699533</v>
      </c>
      <c r="AT3" s="13">
        <f>IF(Table13[[#This Row],[Zeit EZF]]&gt;0,_xlfn.RANK.EQ(Table13[[#This Row],[Gesamt EZF]],Table13[Gesamt EZF],0)," ")</f>
        <v>2</v>
      </c>
      <c r="AU3" s="17">
        <f>MAX( AM3,AS3)</f>
        <v>981.22065727699533</v>
      </c>
    </row>
    <row r="4" spans="1:47" x14ac:dyDescent="0.25">
      <c r="A4" s="1" t="s">
        <v>103</v>
      </c>
      <c r="B4" s="1" t="s">
        <v>60</v>
      </c>
      <c r="C4" s="5"/>
      <c r="D4" s="5">
        <v>1992</v>
      </c>
      <c r="E4" s="5">
        <f>IF(Table13[[#This Row],[JG]],2026-Table13[[#This Row],[JG]],0)</f>
        <v>34</v>
      </c>
      <c r="F4" s="5"/>
      <c r="G4" s="26">
        <f>SUM(U4, AH4, AU4)</f>
        <v>2706.451264690098</v>
      </c>
      <c r="H4" s="24">
        <f>_xlfn.RANK.EQ(Table13[[#This Row],[Gesamtpunkte]],Table13[Gesamtpunkte],0)</f>
        <v>2</v>
      </c>
      <c r="I4" s="8">
        <v>2.2592592592592591E-2</v>
      </c>
      <c r="J4" s="4">
        <f>IF(Table13[[#This Row],[Zeit LSC]]&gt;0,_xlfn.RANK.EQ(Table13[[#This Row],[Punkte LSC]],Table13[Punkte LSC],0)," ")</f>
        <v>3</v>
      </c>
      <c r="K4" s="6">
        <f>IF(Table13[[#This Row],[Zeit LSC]]&gt;0,MIN(Table13[Zeit LSC])/Table13[[#This Row],[Zeit LSC]]*1000,0)</f>
        <v>939.03688524590166</v>
      </c>
      <c r="L4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" s="6">
        <f>(Table13[[#This Row],[Punkte LSC]]+Table13[[#This Row],[Bonus LSC]])</f>
        <v>939.03688524590166</v>
      </c>
      <c r="N4" s="12">
        <f>IF(Table13[[#This Row],[Zeit LSC]]&gt;0,_xlfn.RANK.EQ(Table13[[#This Row],[Gesamt LSC]],Table13[Gesamt LSC],0)," ")</f>
        <v>3</v>
      </c>
      <c r="O4" s="8">
        <v>1.6886574074074075E-2</v>
      </c>
      <c r="P4" s="4">
        <f>IF(Table13[[#This Row],[Zeit LKC]]&gt;0,_xlfn.RANK.EQ(Table13[[#This Row],[Punkte LKC]],Table13[Punkte LKC],0)," ")</f>
        <v>3</v>
      </c>
      <c r="Q4" s="6">
        <f>IF(Table13[[#This Row],[Zeit LKC]]&gt;0,MIN(Table13[Zeit LKC])/Table13[[#This Row],[Zeit LKC]]*1000,0)</f>
        <v>823.8519533927348</v>
      </c>
      <c r="R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" s="6">
        <f>(Table13[[#This Row],[Punkte LKC]]+Table13[[#This Row],[Bonus LKC]])</f>
        <v>823.8519533927348</v>
      </c>
      <c r="T4" s="12">
        <f>IF(Table13[[#This Row],[Zeit LKC]]&gt;0,_xlfn.RANK.EQ(Table13[[#This Row],[Gesamt LKC]],Table13[Gesamt LKC],0)," ")</f>
        <v>3</v>
      </c>
      <c r="U4" s="15">
        <f>MAX( S4,M4)</f>
        <v>939.03688524590166</v>
      </c>
      <c r="V4" s="11"/>
      <c r="W4" s="5" t="str">
        <f>IF(Table13[[#This Row],[Zeit S&amp;R]]&gt;0,_xlfn.RANK.EQ(Table13[[#This Row],[Punkte S&amp;R]],Table13[Punkte S&amp;R],0)," ")</f>
        <v xml:space="preserve"> </v>
      </c>
      <c r="X4" s="9">
        <f>IF(Table13[[#This Row],[Zeit S&amp;R]]&gt;0,MIN(Table13[Zeit S&amp;R])/Table13[[#This Row],[Zeit S&amp;R]]*1000,0)</f>
        <v>0</v>
      </c>
      <c r="Y4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" s="9">
        <f>(Table13[[#This Row],[Punkte S&amp;R]]+Table13[[#This Row],[Bonus S&amp;R]])</f>
        <v>0</v>
      </c>
      <c r="AA4" s="13" t="str">
        <f>IF(Table13[[#This Row],[Zeit S&amp;R]]&gt;0,_xlfn.RANK.EQ(Table13[[#This Row],[Gesamt S&amp;R]],Table13[Gesamt S&amp;R],0)," ")</f>
        <v xml:space="preserve"> </v>
      </c>
      <c r="AB4" s="11">
        <v>7.0520833333333338E-2</v>
      </c>
      <c r="AC4" s="13">
        <f>IF(Table13[[#This Row],[Zeit LC]]&gt;0,_xlfn.RANK.EQ(Table13[[#This Row],[Punkte LC]],Table13[Punkte LC],0)," ")</f>
        <v>4</v>
      </c>
      <c r="AD4" s="9">
        <f>IF(Table13[[#This Row],[Zeit LC]]&gt;0,MIN(Table13[Zeit LC])/Table13[[#This Row],[Zeit LC]]*1000,0)</f>
        <v>903.33169210569508</v>
      </c>
      <c r="AE4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" s="9">
        <f>(Table13[[#This Row],[Punkte LC]]+Table13[[#This Row],[Bonus LC]])</f>
        <v>903.33169210569508</v>
      </c>
      <c r="AG4" s="13">
        <f>IF(Table13[[#This Row],[Zeit LC]]&gt;0,_xlfn.RANK.EQ(Table13[[#This Row],[Gesamt LC]],Table13[Gesamt LC],0)," ")</f>
        <v>5</v>
      </c>
      <c r="AH4" s="15">
        <f>MAX( Z4,AF4)</f>
        <v>903.33169210569508</v>
      </c>
      <c r="AI4" s="11">
        <v>2.6412037037037036E-2</v>
      </c>
      <c r="AJ4" s="5">
        <f>IF(Table13[[#This Row],[Zeit BZF]]&gt;0,_xlfn.RANK.EQ(Table13[[#This Row],[Punkte BZF]],Table13[Punkte BZF],0)," ")</f>
        <v>4</v>
      </c>
      <c r="AK4" s="9">
        <f>IF(Table13[[#This Row],[Zeit BZF]]&gt;0,MIN(Table13[Zeit BZF])/Table13[[#This Row],[Zeit BZF]]*1000,0)</f>
        <v>785.71428571428567</v>
      </c>
      <c r="AL4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" s="9">
        <f>(Table13[[#This Row],[Punkte BZF]]+Table13[[#This Row],[Bonus BZF]])</f>
        <v>785.71428571428567</v>
      </c>
      <c r="AN4" s="13">
        <f>IF(Table13[[#This Row],[Zeit BZF]]&gt;0,_xlfn.RANK.EQ(Table13[[#This Row],[Gesamt BZF]],Table13[Gesamt BZF],0)," ")</f>
        <v>5</v>
      </c>
      <c r="AO4" s="11">
        <v>2.2395833333333334E-2</v>
      </c>
      <c r="AP4" s="5">
        <f>IF(Table13[[#This Row],[Zeit EZF]]&gt;0,_xlfn.RANK.EQ(Table13[[#This Row],[Punkte EZF]],Table13[Punkte EZF],0)," ")</f>
        <v>14</v>
      </c>
      <c r="AQ4" s="9">
        <f>IF(Table13[[#This Row],[Zeit EZF]]&gt;0,MIN(Table13[Zeit EZF])/Table13[[#This Row],[Zeit EZF]]*1000,0)</f>
        <v>864.08268733850139</v>
      </c>
      <c r="AR4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" s="9">
        <f>(Table13[[#This Row],[Punkte EZF]]+Table13[[#This Row],[Bonus EZF]])</f>
        <v>864.08268733850139</v>
      </c>
      <c r="AT4" s="13">
        <f>IF(Table13[[#This Row],[Zeit EZF]]&gt;0,_xlfn.RANK.EQ(Table13[[#This Row],[Gesamt EZF]],Table13[Gesamt EZF],0)," ")</f>
        <v>18</v>
      </c>
      <c r="AU4" s="17">
        <f t="shared" ref="AU4:AU109" si="0">MAX( AM4,AS4)</f>
        <v>864.08268733850139</v>
      </c>
    </row>
    <row r="5" spans="1:47" x14ac:dyDescent="0.25">
      <c r="A5" s="1" t="s">
        <v>69</v>
      </c>
      <c r="B5" s="1" t="s">
        <v>70</v>
      </c>
      <c r="C5" s="4">
        <v>1</v>
      </c>
      <c r="D5" s="4">
        <v>1961</v>
      </c>
      <c r="E5" s="4">
        <f>IF(Table13[[#This Row],[JG]],2026-Table13[[#This Row],[JG]],0)</f>
        <v>65</v>
      </c>
      <c r="F5" s="4"/>
      <c r="G5" s="26">
        <f>SUM(U5, AH5, AU5)</f>
        <v>2477.5264964920138</v>
      </c>
      <c r="H5" s="24">
        <f>_xlfn.RANK.EQ(Table13[[#This Row],[Gesamtpunkte]],Table13[Gesamtpunkte],0)</f>
        <v>3</v>
      </c>
      <c r="I5" s="8"/>
      <c r="J5" s="4" t="str">
        <f>IF(Table13[[#This Row],[Zeit LSC]]&gt;0,_xlfn.RANK.EQ(Table13[[#This Row],[Punkte LSC]],Table13[Punkte LSC],0)," ")</f>
        <v xml:space="preserve"> </v>
      </c>
      <c r="K5" s="6">
        <f>IF(Table13[[#This Row],[Zeit LSC]]&gt;0,MIN(Table13[Zeit LSC])/Table13[[#This Row],[Zeit LSC]]*1000,0)</f>
        <v>0</v>
      </c>
      <c r="L5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" s="6">
        <f>(Table13[[#This Row],[Punkte LSC]]+Table13[[#This Row],[Bonus LSC]])</f>
        <v>0</v>
      </c>
      <c r="N5" s="12" t="str">
        <f>IF(Table13[[#This Row],[Zeit LSC]]&gt;0,_xlfn.RANK.EQ(Table13[[#This Row],[Gesamt LSC]],Table13[Gesamt LSC],0)," ")</f>
        <v xml:space="preserve"> </v>
      </c>
      <c r="O5" s="8">
        <v>2.1388888888888888E-2</v>
      </c>
      <c r="P5" s="4">
        <f>IF(Table13[[#This Row],[Zeit LKC]]&gt;0,_xlfn.RANK.EQ(Table13[[#This Row],[Punkte LKC]],Table13[Punkte LKC],0)," ")</f>
        <v>6</v>
      </c>
      <c r="Q5" s="6">
        <f>IF(Table13[[#This Row],[Zeit LKC]]&gt;0,MIN(Table13[Zeit LKC])/Table13[[#This Row],[Zeit LKC]]*1000,0)</f>
        <v>650.43290043290051</v>
      </c>
      <c r="R5" s="7">
        <f>IF(Table13[[#This Row],[Zeit LKC]]&gt;0,SUM(IF(Table13[[#This Row],[Alter]]&gt;40,(Table13[[#This Row],[Alter]]-40)*4,0),IF(AND(Table13[[#This Row],[Alter]]&lt;20,Table13[[#This Row],[Alter]]&gt;0),(20-Table13[[#This Row],[Alter]])*10,0)),0)</f>
        <v>100</v>
      </c>
      <c r="S5" s="6">
        <f>(Table13[[#This Row],[Punkte LKC]]+Table13[[#This Row],[Bonus LKC]])</f>
        <v>750.43290043290051</v>
      </c>
      <c r="T5" s="12">
        <f>IF(Table13[[#This Row],[Zeit LKC]]&gt;0,_xlfn.RANK.EQ(Table13[[#This Row],[Gesamt LKC]],Table13[Gesamt LKC],0)," ")</f>
        <v>5</v>
      </c>
      <c r="U5" s="15">
        <f>MAX( S5,M5)</f>
        <v>750.43290043290051</v>
      </c>
      <c r="V5" s="8"/>
      <c r="W5" s="5" t="str">
        <f>IF(Table13[[#This Row],[Zeit S&amp;R]]&gt;0,_xlfn.RANK.EQ(Table13[[#This Row],[Punkte S&amp;R]],Table13[Punkte S&amp;R],0)," ")</f>
        <v xml:space="preserve"> </v>
      </c>
      <c r="X5" s="6">
        <f>IF(Table13[[#This Row],[Zeit S&amp;R]]&gt;0,MIN(Table13[Zeit S&amp;R])/Table13[[#This Row],[Zeit S&amp;R]]*1000,0)</f>
        <v>0</v>
      </c>
      <c r="Y5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" s="6">
        <f>(Table13[[#This Row],[Punkte S&amp;R]]+Table13[[#This Row],[Bonus S&amp;R]])</f>
        <v>0</v>
      </c>
      <c r="AA5" s="12" t="str">
        <f>IF(Table13[[#This Row],[Zeit S&amp;R]]&gt;0,_xlfn.RANK.EQ(Table13[[#This Row],[Gesamt S&amp;R]],Table13[Gesamt S&amp;R],0)," ")</f>
        <v xml:space="preserve"> </v>
      </c>
      <c r="AB5" s="8">
        <v>8.5925925925925919E-2</v>
      </c>
      <c r="AC5" s="12">
        <f>IF(Table13[[#This Row],[Zeit LC]]&gt;0,_xlfn.RANK.EQ(Table13[[#This Row],[Punkte LC]],Table13[Punkte LC],0)," ")</f>
        <v>10</v>
      </c>
      <c r="AD5" s="6">
        <f>IF(Table13[[#This Row],[Zeit LC]]&gt;0,MIN(Table13[Zeit LC])/Table13[[#This Row],[Zeit LC]]*1000,0)</f>
        <v>741.37931034482767</v>
      </c>
      <c r="AE5" s="6">
        <f>IF(Table13[[#This Row],[Zeit LC]]&gt;0,SUM(IF(Table13[[#This Row],[Alter]]&gt;40,(Table13[[#This Row],[Alter]]-40)*4,0),IF(AND(Table13[[#This Row],[Alter]]&lt;20,Table13[[#This Row],[Alter]]&gt;0),(20-Table13[[#This Row],[Alter]])*10,0)),0)</f>
        <v>100</v>
      </c>
      <c r="AF5" s="6">
        <f>(Table13[[#This Row],[Punkte LC]]+Table13[[#This Row],[Bonus LC]])</f>
        <v>841.37931034482767</v>
      </c>
      <c r="AG5" s="12">
        <f>IF(Table13[[#This Row],[Zeit LC]]&gt;0,_xlfn.RANK.EQ(Table13[[#This Row],[Gesamt LC]],Table13[Gesamt LC],0)," ")</f>
        <v>7</v>
      </c>
      <c r="AH5" s="15">
        <f>MAX( Z5,AF5)</f>
        <v>841.37931034482767</v>
      </c>
      <c r="AI5" s="8"/>
      <c r="AJ5" s="5" t="str">
        <f>IF(Table13[[#This Row],[Zeit BZF]]&gt;0,_xlfn.RANK.EQ(Table13[[#This Row],[Punkte BZF]],Table13[Punkte BZF],0)," ")</f>
        <v xml:space="preserve"> </v>
      </c>
      <c r="AK5" s="9">
        <f>IF(Table13[[#This Row],[Zeit BZF]]&gt;0,MIN(Table13[Zeit BZF])/Table13[[#This Row],[Zeit BZF]]*1000,0)</f>
        <v>0</v>
      </c>
      <c r="AL5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5" s="6">
        <f>(Table13[[#This Row],[Punkte BZF]]+Table13[[#This Row],[Bonus BZF]])</f>
        <v>0</v>
      </c>
      <c r="AN5" s="12" t="str">
        <f>IF(Table13[[#This Row],[Zeit BZF]]&gt;0,_xlfn.RANK.EQ(Table13[[#This Row],[Gesamt BZF]],Table13[Gesamt BZF],0)," ")</f>
        <v xml:space="preserve"> </v>
      </c>
      <c r="AO5" s="8">
        <v>2.462962962962963E-2</v>
      </c>
      <c r="AP5" s="5">
        <f>IF(Table13[[#This Row],[Zeit EZF]]&gt;0,_xlfn.RANK.EQ(Table13[[#This Row],[Punkte EZF]],Table13[Punkte EZF],0)," ")</f>
        <v>23</v>
      </c>
      <c r="AQ5" s="9">
        <f>IF(Table13[[#This Row],[Zeit EZF]]&gt;0,MIN(Table13[Zeit EZF])/Table13[[#This Row],[Zeit EZF]]*1000,0)</f>
        <v>785.71428571428567</v>
      </c>
      <c r="AR5" s="7">
        <f>IF(Table13[[#This Row],[Zeit EZF]]&gt;0,SUM(IF(Table13[[#This Row],[Alter]]&gt;40,(Table13[[#This Row],[Alter]]-40)*4,0),IF(AND(Table13[[#This Row],[Alter]]&lt;20,Table13[[#This Row],[Alter]]&gt;0),(20-Table13[[#This Row],[Alter]])*10,0)),0)</f>
        <v>100</v>
      </c>
      <c r="AS5" s="6">
        <f>(Table13[[#This Row],[Punkte EZF]]+Table13[[#This Row],[Bonus EZF]])</f>
        <v>885.71428571428567</v>
      </c>
      <c r="AT5" s="12">
        <f>IF(Table13[[#This Row],[Zeit EZF]]&gt;0,_xlfn.RANK.EQ(Table13[[#This Row],[Gesamt EZF]],Table13[Gesamt EZF],0)," ")</f>
        <v>15</v>
      </c>
      <c r="AU5" s="17">
        <f t="shared" si="0"/>
        <v>885.71428571428567</v>
      </c>
    </row>
    <row r="6" spans="1:47" x14ac:dyDescent="0.25">
      <c r="A6" s="1" t="s">
        <v>106</v>
      </c>
      <c r="B6" s="1" t="s">
        <v>107</v>
      </c>
      <c r="C6" s="5"/>
      <c r="D6" s="5">
        <v>1975</v>
      </c>
      <c r="E6" s="5">
        <f>IF(Table13[[#This Row],[JG]],2026-Table13[[#This Row],[JG]],0)</f>
        <v>51</v>
      </c>
      <c r="F6" s="5"/>
      <c r="G6" s="26">
        <f>SUM(U6, AH6, AU6)</f>
        <v>2452.6041094031689</v>
      </c>
      <c r="H6" s="24">
        <f>_xlfn.RANK.EQ(Table13[[#This Row],[Gesamtpunkte]],Table13[Gesamtpunkte],0)</f>
        <v>4</v>
      </c>
      <c r="I6" s="8"/>
      <c r="J6" s="4" t="str">
        <f>IF(Table13[[#This Row],[Zeit LSC]]&gt;0,_xlfn.RANK.EQ(Table13[[#This Row],[Punkte LSC]],Table13[Punkte LSC],0)," ")</f>
        <v xml:space="preserve"> </v>
      </c>
      <c r="K6" s="6">
        <f>IF(Table13[[#This Row],[Zeit LSC]]&gt;0,MIN(Table13[Zeit LSC])/Table13[[#This Row],[Zeit LSC]]*1000,0)</f>
        <v>0</v>
      </c>
      <c r="L6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6" s="6">
        <f>(Table13[[#This Row],[Punkte LSC]]+Table13[[#This Row],[Bonus LSC]])</f>
        <v>0</v>
      </c>
      <c r="N6" s="12" t="str">
        <f>IF(Table13[[#This Row],[Zeit LSC]]&gt;0,_xlfn.RANK.EQ(Table13[[#This Row],[Gesamt LSC]],Table13[Gesamt LSC],0)," ")</f>
        <v xml:space="preserve"> </v>
      </c>
      <c r="O6" s="8">
        <v>2.1122685185185185E-2</v>
      </c>
      <c r="P6" s="4">
        <f>IF(Table13[[#This Row],[Zeit LKC]]&gt;0,_xlfn.RANK.EQ(Table13[[#This Row],[Punkte LKC]],Table13[Punkte LKC],0)," ")</f>
        <v>5</v>
      </c>
      <c r="Q6" s="6">
        <f>IF(Table13[[#This Row],[Zeit LKC]]&gt;0,MIN(Table13[Zeit LKC])/Table13[[#This Row],[Zeit LKC]]*1000,0)</f>
        <v>658.6301369863013</v>
      </c>
      <c r="R6" s="7">
        <f>IF(Table13[[#This Row],[Zeit LKC]]&gt;0,SUM(IF(Table13[[#This Row],[Alter]]&gt;40,(Table13[[#This Row],[Alter]]-40)*4,0),IF(AND(Table13[[#This Row],[Alter]]&lt;20,Table13[[#This Row],[Alter]]&gt;0),(20-Table13[[#This Row],[Alter]])*10,0)),0)</f>
        <v>44</v>
      </c>
      <c r="S6" s="6">
        <f>(Table13[[#This Row],[Punkte LKC]]+Table13[[#This Row],[Bonus LKC]])</f>
        <v>702.6301369863013</v>
      </c>
      <c r="T6" s="12">
        <f>IF(Table13[[#This Row],[Zeit LKC]]&gt;0,_xlfn.RANK.EQ(Table13[[#This Row],[Gesamt LKC]],Table13[Gesamt LKC],0)," ")</f>
        <v>7</v>
      </c>
      <c r="U6" s="15">
        <f>MAX( S6,M6)</f>
        <v>702.6301369863013</v>
      </c>
      <c r="V6" s="11">
        <v>3.9074074074074074E-2</v>
      </c>
      <c r="W6" s="5">
        <f>IF(Table13[[#This Row],[Zeit S&amp;R]]&gt;0,_xlfn.RANK.EQ(Table13[[#This Row],[Punkte S&amp;R]],Table13[Punkte S&amp;R],0)," ")</f>
        <v>15</v>
      </c>
      <c r="X6" s="9">
        <f>IF(Table13[[#This Row],[Zeit S&amp;R]]&gt;0,MIN(Table13[Zeit S&amp;R])/Table13[[#This Row],[Zeit S&amp;R]]*1000,0)</f>
        <v>807.16824644549763</v>
      </c>
      <c r="Y6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44</v>
      </c>
      <c r="Z6" s="9">
        <f>(Table13[[#This Row],[Punkte S&amp;R]]+Table13[[#This Row],[Bonus S&amp;R]])</f>
        <v>851.16824644549763</v>
      </c>
      <c r="AA6" s="13">
        <f>IF(Table13[[#This Row],[Zeit S&amp;R]]&gt;0,_xlfn.RANK.EQ(Table13[[#This Row],[Gesamt S&amp;R]],Table13[Gesamt S&amp;R],0)," ")</f>
        <v>14</v>
      </c>
      <c r="AB6" s="11"/>
      <c r="AC6" s="13" t="str">
        <f>IF(Table13[[#This Row],[Zeit LC]]&gt;0,_xlfn.RANK.EQ(Table13[[#This Row],[Punkte LC]],Table13[Punkte LC],0)," ")</f>
        <v xml:space="preserve"> </v>
      </c>
      <c r="AD6" s="9">
        <f>IF(Table13[[#This Row],[Zeit LC]]&gt;0,MIN(Table13[Zeit LC])/Table13[[#This Row],[Zeit LC]]*1000,0)</f>
        <v>0</v>
      </c>
      <c r="AE6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6" s="9">
        <f>(Table13[[#This Row],[Punkte LC]]+Table13[[#This Row],[Bonus LC]])</f>
        <v>0</v>
      </c>
      <c r="AG6" s="13" t="str">
        <f>IF(Table13[[#This Row],[Zeit LC]]&gt;0,_xlfn.RANK.EQ(Table13[[#This Row],[Gesamt LC]],Table13[Gesamt LC],0)," ")</f>
        <v xml:space="preserve"> </v>
      </c>
      <c r="AH6" s="15">
        <f>MAX( Z6,AF6)</f>
        <v>851.16824644549763</v>
      </c>
      <c r="AI6" s="11">
        <v>2.9664351851851851E-2</v>
      </c>
      <c r="AJ6" s="5">
        <f>IF(Table13[[#This Row],[Zeit BZF]]&gt;0,_xlfn.RANK.EQ(Table13[[#This Row],[Punkte BZF]],Table13[Punkte BZF],0)," ")</f>
        <v>9</v>
      </c>
      <c r="AK6" s="9">
        <f>IF(Table13[[#This Row],[Zeit BZF]]&gt;0,MIN(Table13[Zeit BZF])/Table13[[#This Row],[Zeit BZF]]*1000,0)</f>
        <v>699.57081545064375</v>
      </c>
      <c r="AL6" s="10">
        <f>IF(Table13[[#This Row],[Zeit BZF]]&gt;0,SUM(IF(Table13[[#This Row],[Alter]]&gt;40,(Table13[[#This Row],[Alter]]-40)*4,0),IF(AND(Table13[[#This Row],[Alter]]&lt;20,Table13[[#This Row],[Alter]]&gt;0),(20-Table13[[#This Row],[Alter]])*10,0)),0)</f>
        <v>44</v>
      </c>
      <c r="AM6" s="9">
        <f>(Table13[[#This Row],[Punkte BZF]]+Table13[[#This Row],[Bonus BZF]])</f>
        <v>743.57081545064375</v>
      </c>
      <c r="AN6" s="13">
        <f>IF(Table13[[#This Row],[Zeit BZF]]&gt;0,_xlfn.RANK.EQ(Table13[[#This Row],[Gesamt BZF]],Table13[Gesamt BZF],0)," ")</f>
        <v>8</v>
      </c>
      <c r="AO6" s="11">
        <v>2.2638888888888889E-2</v>
      </c>
      <c r="AP6" s="5">
        <f>IF(Table13[[#This Row],[Zeit EZF]]&gt;0,_xlfn.RANK.EQ(Table13[[#This Row],[Punkte EZF]],Table13[Punkte EZF],0)," ")</f>
        <v>17</v>
      </c>
      <c r="AQ6" s="9">
        <f>IF(Table13[[#This Row],[Zeit EZF]]&gt;0,MIN(Table13[Zeit EZF])/Table13[[#This Row],[Zeit EZF]]*1000,0)</f>
        <v>854.80572597137018</v>
      </c>
      <c r="AR6" s="10">
        <f>IF(Table13[[#This Row],[Zeit EZF]]&gt;0,SUM(IF(Table13[[#This Row],[Alter]]&gt;40,(Table13[[#This Row],[Alter]]-40)*4,0),IF(AND(Table13[[#This Row],[Alter]]&lt;20,Table13[[#This Row],[Alter]]&gt;0),(20-Table13[[#This Row],[Alter]])*10,0)),0)</f>
        <v>44</v>
      </c>
      <c r="AS6" s="9">
        <f>(Table13[[#This Row],[Punkte EZF]]+Table13[[#This Row],[Bonus EZF]])</f>
        <v>898.80572597137018</v>
      </c>
      <c r="AT6" s="13">
        <f>IF(Table13[[#This Row],[Zeit EZF]]&gt;0,_xlfn.RANK.EQ(Table13[[#This Row],[Gesamt EZF]],Table13[Gesamt EZF],0)," ")</f>
        <v>13</v>
      </c>
      <c r="AU6" s="17">
        <f t="shared" si="0"/>
        <v>898.80572597137018</v>
      </c>
    </row>
    <row r="7" spans="1:47" x14ac:dyDescent="0.25">
      <c r="A7" s="1" t="s">
        <v>57</v>
      </c>
      <c r="B7" s="1" t="s">
        <v>59</v>
      </c>
      <c r="C7" s="4">
        <v>1</v>
      </c>
      <c r="D7" s="4">
        <v>1967</v>
      </c>
      <c r="E7" s="4">
        <f>IF(Table13[[#This Row],[JG]],2026-Table13[[#This Row],[JG]],0)</f>
        <v>59</v>
      </c>
      <c r="F7" s="4"/>
      <c r="G7" s="26">
        <f>SUM(U7, AH7, AU7)</f>
        <v>1945.1087595474728</v>
      </c>
      <c r="H7" s="24">
        <f>_xlfn.RANK.EQ(Table13[[#This Row],[Gesamtpunkte]],Table13[Gesamtpunkte],0)</f>
        <v>5</v>
      </c>
      <c r="I7" s="8">
        <v>2.2337962962962962E-2</v>
      </c>
      <c r="J7" s="4">
        <f>IF(Table13[[#This Row],[Zeit LSC]]&gt;0,_xlfn.RANK.EQ(Table13[[#This Row],[Punkte LSC]],Table13[Punkte LSC],0)," ")</f>
        <v>2</v>
      </c>
      <c r="K7" s="6">
        <f>IF(Table13[[#This Row],[Zeit LSC]]&gt;0,MIN(Table13[Zeit LSC])/Table13[[#This Row],[Zeit LSC]]*1000,0)</f>
        <v>949.740932642487</v>
      </c>
      <c r="L7" s="7">
        <f>IF(Table13[[#This Row],[Zeit LSC]]&gt;0,SUM(IF(Table13[[#This Row],[Alter]]&gt;40,(Table13[[#This Row],[Alter]]-40)*4,0),IF(AND(Table13[[#This Row],[Alter]]&lt;20,Table13[[#This Row],[Alter]]&gt;0),(20-Table13[[#This Row],[Alter]])*10,0)),0)</f>
        <v>76</v>
      </c>
      <c r="M7" s="6">
        <f>(Table13[[#This Row],[Punkte LSC]]+Table13[[#This Row],[Bonus LSC]])</f>
        <v>1025.740932642487</v>
      </c>
      <c r="N7" s="12">
        <f>IF(Table13[[#This Row],[Zeit LSC]]&gt;0,_xlfn.RANK.EQ(Table13[[#This Row],[Gesamt LSC]],Table13[Gesamt LSC],0)," ")</f>
        <v>1</v>
      </c>
      <c r="O7" s="8">
        <v>1.5173611111111112E-2</v>
      </c>
      <c r="P7" s="4">
        <f>IF(Table13[[#This Row],[Zeit LKC]]&gt;0,_xlfn.RANK.EQ(Table13[[#This Row],[Punkte LKC]],Table13[Punkte LKC],0)," ")</f>
        <v>2</v>
      </c>
      <c r="Q7" s="6">
        <f>IF(Table13[[#This Row],[Zeit LKC]]&gt;0,MIN(Table13[Zeit LKC])/Table13[[#This Row],[Zeit LKC]]*1000,0)</f>
        <v>916.85736079328751</v>
      </c>
      <c r="R7" s="7">
        <f>IF(Table13[[#This Row],[Zeit LKC]]&gt;0,SUM(IF(Table13[[#This Row],[Alter]]&gt;40,(Table13[[#This Row],[Alter]]-40)*4,0),IF(AND(Table13[[#This Row],[Alter]]&lt;20,Table13[[#This Row],[Alter]]&gt;0),(20-Table13[[#This Row],[Alter]])*10,0)),0)</f>
        <v>76</v>
      </c>
      <c r="S7" s="6">
        <f>(Table13[[#This Row],[Punkte LKC]]+Table13[[#This Row],[Bonus LKC]])</f>
        <v>992.85736079328751</v>
      </c>
      <c r="T7" s="12">
        <f>IF(Table13[[#This Row],[Zeit LKC]]&gt;0,_xlfn.RANK.EQ(Table13[[#This Row],[Gesamt LKC]],Table13[Gesamt LKC],0)," ")</f>
        <v>2</v>
      </c>
      <c r="U7" s="15">
        <f>MAX( S7,M7)</f>
        <v>1025.740932642487</v>
      </c>
      <c r="V7" s="8"/>
      <c r="W7" s="5" t="str">
        <f>IF(Table13[[#This Row],[Zeit S&amp;R]]&gt;0,_xlfn.RANK.EQ(Table13[[#This Row],[Punkte S&amp;R]],Table13[Punkte S&amp;R],0)," ")</f>
        <v xml:space="preserve"> </v>
      </c>
      <c r="X7" s="6">
        <f>IF(Table13[[#This Row],[Zeit S&amp;R]]&gt;0,MIN(Table13[Zeit S&amp;R])/Table13[[#This Row],[Zeit S&amp;R]]*1000,0)</f>
        <v>0</v>
      </c>
      <c r="Y7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7" s="6">
        <f>(Table13[[#This Row],[Punkte S&amp;R]]+Table13[[#This Row],[Bonus S&amp;R]])</f>
        <v>0</v>
      </c>
      <c r="AA7" s="12" t="str">
        <f>IF(Table13[[#This Row],[Zeit S&amp;R]]&gt;0,_xlfn.RANK.EQ(Table13[[#This Row],[Gesamt S&amp;R]],Table13[Gesamt S&amp;R],0)," ")</f>
        <v xml:space="preserve"> </v>
      </c>
      <c r="AB7" s="11"/>
      <c r="AC7" s="12" t="str">
        <f>IF(Table13[[#This Row],[Zeit LC]]&gt;0,_xlfn.RANK.EQ(Table13[[#This Row],[Punkte LC]],Table13[Punkte LC],0)," ")</f>
        <v xml:space="preserve"> </v>
      </c>
      <c r="AD7" s="6">
        <f>IF(Table13[[#This Row],[Zeit LC]]&gt;0,MIN(Table13[Zeit LC])/Table13[[#This Row],[Zeit LC]]*1000,0)</f>
        <v>0</v>
      </c>
      <c r="AE7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7" s="6">
        <f>(Table13[[#This Row],[Punkte LC]]+Table13[[#This Row],[Bonus LC]])</f>
        <v>0</v>
      </c>
      <c r="AG7" s="12" t="str">
        <f>IF(Table13[[#This Row],[Zeit LC]]&gt;0,_xlfn.RANK.EQ(Table13[[#This Row],[Gesamt LC]],Table13[Gesamt LC],0)," ")</f>
        <v xml:space="preserve"> </v>
      </c>
      <c r="AH7" s="15">
        <f>MAX( Z7,AF7)</f>
        <v>0</v>
      </c>
      <c r="AI7" s="8">
        <v>2.4606481481481483E-2</v>
      </c>
      <c r="AJ7" s="5">
        <f>IF(Table13[[#This Row],[Zeit BZF]]&gt;0,_xlfn.RANK.EQ(Table13[[#This Row],[Punkte BZF]],Table13[Punkte BZF],0)," ")</f>
        <v>2</v>
      </c>
      <c r="AK7" s="9">
        <f>IF(Table13[[#This Row],[Zeit BZF]]&gt;0,MIN(Table13[Zeit BZF])/Table13[[#This Row],[Zeit BZF]]*1000,0)</f>
        <v>843.3678269049858</v>
      </c>
      <c r="AL7" s="7">
        <f>IF(Table13[[#This Row],[Zeit BZF]]&gt;0,SUM(IF(Table13[[#This Row],[Alter]]&gt;40,(Table13[[#This Row],[Alter]]-40)*4,0),IF(AND(Table13[[#This Row],[Alter]]&lt;20,Table13[[#This Row],[Alter]]&gt;0),(20-Table13[[#This Row],[Alter]])*10,0)),0)</f>
        <v>76</v>
      </c>
      <c r="AM7" s="6">
        <f>(Table13[[#This Row],[Punkte BZF]]+Table13[[#This Row],[Bonus BZF]])</f>
        <v>919.3678269049858</v>
      </c>
      <c r="AN7" s="12">
        <f>IF(Table13[[#This Row],[Zeit BZF]]&gt;0,_xlfn.RANK.EQ(Table13[[#This Row],[Gesamt BZF]],Table13[Gesamt BZF],0)," ")</f>
        <v>2</v>
      </c>
      <c r="AO7" s="8">
        <v>2.4606481481481483E-2</v>
      </c>
      <c r="AP7" s="5">
        <f>IF(Table13[[#This Row],[Zeit EZF]]&gt;0,_xlfn.RANK.EQ(Table13[[#This Row],[Punkte EZF]],Table13[Punkte EZF],0)," ")</f>
        <v>22</v>
      </c>
      <c r="AQ7" s="9">
        <f>IF(Table13[[#This Row],[Zeit EZF]]&gt;0,MIN(Table13[Zeit EZF])/Table13[[#This Row],[Zeit EZF]]*1000,0)</f>
        <v>786.45343367826899</v>
      </c>
      <c r="AR7" s="7">
        <f>IF(Table13[[#This Row],[Zeit EZF]]&gt;0,SUM(IF(Table13[[#This Row],[Alter]]&gt;40,(Table13[[#This Row],[Alter]]-40)*4,0),IF(AND(Table13[[#This Row],[Alter]]&lt;20,Table13[[#This Row],[Alter]]&gt;0),(20-Table13[[#This Row],[Alter]])*10,0)),0)</f>
        <v>76</v>
      </c>
      <c r="AS7" s="6">
        <f>(Table13[[#This Row],[Punkte EZF]]+Table13[[#This Row],[Bonus EZF]])</f>
        <v>862.45343367826899</v>
      </c>
      <c r="AT7" s="12">
        <f>IF(Table13[[#This Row],[Zeit EZF]]&gt;0,_xlfn.RANK.EQ(Table13[[#This Row],[Gesamt EZF]],Table13[Gesamt EZF],0)," ")</f>
        <v>20</v>
      </c>
      <c r="AU7" s="17">
        <f t="shared" si="0"/>
        <v>919.3678269049858</v>
      </c>
    </row>
    <row r="8" spans="1:47" x14ac:dyDescent="0.25">
      <c r="A8" s="1" t="s">
        <v>137</v>
      </c>
      <c r="B8" s="1" t="s">
        <v>138</v>
      </c>
      <c r="C8" s="4">
        <v>1</v>
      </c>
      <c r="D8" s="4">
        <v>1989</v>
      </c>
      <c r="E8" s="4">
        <f>IF(Table13[[#This Row],[JG]],2026-Table13[[#This Row],[JG]],0)</f>
        <v>37</v>
      </c>
      <c r="F8" s="4"/>
      <c r="G8" s="26">
        <f>SUM(U8, AH8, AU8)</f>
        <v>1930.7491791555492</v>
      </c>
      <c r="H8" s="24">
        <f>_xlfn.RANK.EQ(Table13[[#This Row],[Gesamtpunkte]],Table13[Gesamtpunkte],0)</f>
        <v>6</v>
      </c>
      <c r="I8" s="8"/>
      <c r="J8" s="4" t="str">
        <f>IF(Table13[[#This Row],[Zeit LSC]]&gt;0,_xlfn.RANK.EQ(Table13[[#This Row],[Punkte LSC]],Table13[Punkte LSC],0)," ")</f>
        <v xml:space="preserve"> </v>
      </c>
      <c r="K8" s="6">
        <f>IF(Table13[[#This Row],[Zeit LSC]]&gt;0,MIN(Table13[Zeit LSC])/Table13[[#This Row],[Zeit LSC]]*1000,0)</f>
        <v>0</v>
      </c>
      <c r="L8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8" s="6">
        <f>(Table13[[#This Row],[Punkte LSC]]+Table13[[#This Row],[Bonus LSC]])</f>
        <v>0</v>
      </c>
      <c r="N8" s="12" t="str">
        <f>IF(Table13[[#This Row],[Zeit LSC]]&gt;0,_xlfn.RANK.EQ(Table13[[#This Row],[Gesamt LSC]],Table13[Gesamt LSC],0)," ")</f>
        <v xml:space="preserve"> </v>
      </c>
      <c r="O8" s="8"/>
      <c r="P8" s="4" t="str">
        <f>IF(Table13[[#This Row],[Zeit LKC]]&gt;0,_xlfn.RANK.EQ(Table13[[#This Row],[Punkte LKC]],Table13[Punkte LKC],0)," ")</f>
        <v xml:space="preserve"> </v>
      </c>
      <c r="Q8" s="6">
        <f>IF(Table13[[#This Row],[Zeit LKC]]&gt;0,MIN(Table13[Zeit LKC])/Table13[[#This Row],[Zeit LKC]]*1000,0)</f>
        <v>0</v>
      </c>
      <c r="R8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8" s="6">
        <f>(Table13[[#This Row],[Punkte LKC]]+Table13[[#This Row],[Bonus LKC]])</f>
        <v>0</v>
      </c>
      <c r="T8" s="12" t="str">
        <f>IF(Table13[[#This Row],[Zeit LKC]]&gt;0,_xlfn.RANK.EQ(Table13[[#This Row],[Gesamt LKC]],Table13[Gesamt LKC],0)," ")</f>
        <v xml:space="preserve"> </v>
      </c>
      <c r="U8" s="15">
        <f>MAX( S8,M8)</f>
        <v>0</v>
      </c>
      <c r="V8" s="8">
        <v>3.3912037037037039E-2</v>
      </c>
      <c r="W8" s="5">
        <f>IF(Table13[[#This Row],[Zeit S&amp;R]]&gt;0,_xlfn.RANK.EQ(Table13[[#This Row],[Punkte S&amp;R]],Table13[Punkte S&amp;R],0)," ")</f>
        <v>8</v>
      </c>
      <c r="X8" s="6">
        <f>IF(Table13[[#This Row],[Zeit S&amp;R]]&gt;0,MIN(Table13[Zeit S&amp;R])/Table13[[#This Row],[Zeit S&amp;R]]*1000,0)</f>
        <v>930.03412969283272</v>
      </c>
      <c r="Y8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8" s="6">
        <f>(Table13[[#This Row],[Punkte S&amp;R]]+Table13[[#This Row],[Bonus S&amp;R]])</f>
        <v>930.03412969283272</v>
      </c>
      <c r="AA8" s="12">
        <f>IF(Table13[[#This Row],[Zeit S&amp;R]]&gt;0,_xlfn.RANK.EQ(Table13[[#This Row],[Gesamt S&amp;R]],Table13[Gesamt S&amp;R],0)," ")</f>
        <v>8</v>
      </c>
      <c r="AB8" s="8">
        <v>6.4050925925925928E-2</v>
      </c>
      <c r="AC8" s="12">
        <f>IF(Table13[[#This Row],[Zeit LC]]&gt;0,_xlfn.RANK.EQ(Table13[[#This Row],[Punkte LC]],Table13[Punkte LC],0)," ")</f>
        <v>2</v>
      </c>
      <c r="AD8" s="6">
        <f>IF(Table13[[#This Row],[Zeit LC]]&gt;0,MIN(Table13[Zeit LC])/Table13[[#This Row],[Zeit LC]]*1000,0)</f>
        <v>994.57896638959164</v>
      </c>
      <c r="AE8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8" s="6">
        <f>(Table13[[#This Row],[Punkte LC]]+Table13[[#This Row],[Bonus LC]])</f>
        <v>994.57896638959164</v>
      </c>
      <c r="AG8" s="12">
        <f>IF(Table13[[#This Row],[Zeit LC]]&gt;0,_xlfn.RANK.EQ(Table13[[#This Row],[Gesamt LC]],Table13[Gesamt LC],0)," ")</f>
        <v>2</v>
      </c>
      <c r="AH8" s="15">
        <f>MAX( Z8,AF8)</f>
        <v>994.57896638959164</v>
      </c>
      <c r="AI8" s="8"/>
      <c r="AJ8" s="5" t="str">
        <f>IF(Table13[[#This Row],[Zeit BZF]]&gt;0,_xlfn.RANK.EQ(Table13[[#This Row],[Punkte BZF]],Table13[Punkte BZF],0)," ")</f>
        <v xml:space="preserve"> </v>
      </c>
      <c r="AK8" s="9">
        <f>IF(Table13[[#This Row],[Zeit BZF]]&gt;0,MIN(Table13[Zeit BZF])/Table13[[#This Row],[Zeit BZF]]*1000,0)</f>
        <v>0</v>
      </c>
      <c r="AL8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8" s="6">
        <f>(Table13[[#This Row],[Punkte BZF]]+Table13[[#This Row],[Bonus BZF]])</f>
        <v>0</v>
      </c>
      <c r="AN8" s="12" t="str">
        <f>IF(Table13[[#This Row],[Zeit BZF]]&gt;0,_xlfn.RANK.EQ(Table13[[#This Row],[Gesamt BZF]],Table13[Gesamt BZF],0)," ")</f>
        <v xml:space="preserve"> </v>
      </c>
      <c r="AO8" s="8">
        <v>2.0671296296296295E-2</v>
      </c>
      <c r="AP8" s="5">
        <f>IF(Table13[[#This Row],[Zeit EZF]]&gt;0,_xlfn.RANK.EQ(Table13[[#This Row],[Punkte EZF]],Table13[Punkte EZF],0)," ")</f>
        <v>7</v>
      </c>
      <c r="AQ8" s="9">
        <f>IF(Table13[[#This Row],[Zeit EZF]]&gt;0,MIN(Table13[Zeit EZF])/Table13[[#This Row],[Zeit EZF]]*1000,0)</f>
        <v>936.17021276595756</v>
      </c>
      <c r="AR8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8" s="6">
        <f>(Table13[[#This Row],[Punkte EZF]]+Table13[[#This Row],[Bonus EZF]])</f>
        <v>936.17021276595756</v>
      </c>
      <c r="AT8" s="12">
        <f>IF(Table13[[#This Row],[Zeit EZF]]&gt;0,_xlfn.RANK.EQ(Table13[[#This Row],[Gesamt EZF]],Table13[Gesamt EZF],0)," ")</f>
        <v>9</v>
      </c>
      <c r="AU8" s="17">
        <f t="shared" si="0"/>
        <v>936.17021276595756</v>
      </c>
    </row>
    <row r="9" spans="1:47" x14ac:dyDescent="0.25">
      <c r="A9" s="1" t="s">
        <v>111</v>
      </c>
      <c r="B9" s="1" t="s">
        <v>112</v>
      </c>
      <c r="C9" s="5"/>
      <c r="D9" s="5">
        <v>2001</v>
      </c>
      <c r="E9" s="5">
        <f>IF(Table13[[#This Row],[JG]],2026-Table13[[#This Row],[JG]],0)</f>
        <v>25</v>
      </c>
      <c r="F9" s="5"/>
      <c r="G9" s="26">
        <f>SUM(U9, AH9, AU9)</f>
        <v>1920.7256387869006</v>
      </c>
      <c r="H9" s="24">
        <f>_xlfn.RANK.EQ(Table13[[#This Row],[Gesamtpunkte]],Table13[Gesamtpunkte],0)</f>
        <v>7</v>
      </c>
      <c r="I9" s="11"/>
      <c r="J9" s="4" t="str">
        <f>IF(Table13[[#This Row],[Zeit LSC]]&gt;0,_xlfn.RANK.EQ(Table13[[#This Row],[Punkte LSC]],Table13[Punkte LSC],0)," ")</f>
        <v xml:space="preserve"> </v>
      </c>
      <c r="K9" s="9">
        <f>IF(Table13[[#This Row],[Zeit LSC]]&gt;0,MIN(Table13[Zeit LSC])/Table13[[#This Row],[Zeit LSC]]*1000,0)</f>
        <v>0</v>
      </c>
      <c r="L9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9" s="9">
        <f>(Table13[[#This Row],[Punkte LSC]]+Table13[[#This Row],[Bonus LSC]])</f>
        <v>0</v>
      </c>
      <c r="N9" s="12" t="str">
        <f>IF(Table13[[#This Row],[Zeit LSC]]&gt;0,_xlfn.RANK.EQ(Table13[[#This Row],[Gesamt LSC]],Table13[Gesamt LSC],0)," ")</f>
        <v xml:space="preserve"> </v>
      </c>
      <c r="O9" s="8"/>
      <c r="P9" s="5" t="str">
        <f>IF(Table13[[#This Row],[Zeit LKC]]&gt;0,_xlfn.RANK.EQ(Table13[[#This Row],[Punkte LKC]],Table13[Punkte LKC],0)," ")</f>
        <v xml:space="preserve"> </v>
      </c>
      <c r="Q9" s="6">
        <f>IF(Table13[[#This Row],[Zeit LKC]]&gt;0,MIN(Table13[Zeit LKC])/Table13[[#This Row],[Zeit LKC]]*1000,0)</f>
        <v>0</v>
      </c>
      <c r="R9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9" s="6">
        <f>(Table13[[#This Row],[Punkte LKC]]+Table13[[#This Row],[Bonus LKC]])</f>
        <v>0</v>
      </c>
      <c r="T9" s="12" t="str">
        <f>IF(Table13[[#This Row],[Zeit LKC]]&gt;0,_xlfn.RANK.EQ(Table13[[#This Row],[Gesamt LKC]],Table13[Gesamt LKC],0)," ")</f>
        <v xml:space="preserve"> </v>
      </c>
      <c r="U9" s="15">
        <f>MAX( S9,M9)</f>
        <v>0</v>
      </c>
      <c r="V9" s="11">
        <v>3.1782407407407405E-2</v>
      </c>
      <c r="W9" s="5">
        <f>IF(Table13[[#This Row],[Zeit S&amp;R]]&gt;0,_xlfn.RANK.EQ(Table13[[#This Row],[Punkte S&amp;R]],Table13[Punkte S&amp;R],0)," ")</f>
        <v>3</v>
      </c>
      <c r="X9" s="9">
        <f>IF(Table13[[#This Row],[Zeit S&amp;R]]&gt;0,MIN(Table13[Zeit S&amp;R])/Table13[[#This Row],[Zeit S&amp;R]]*1000,0)</f>
        <v>992.35251274581219</v>
      </c>
      <c r="Y9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9" s="9">
        <f>(Table13[[#This Row],[Punkte S&amp;R]]+Table13[[#This Row],[Bonus S&amp;R]])</f>
        <v>992.35251274581219</v>
      </c>
      <c r="AA9" s="12">
        <f>IF(Table13[[#This Row],[Zeit S&amp;R]]&gt;0,_xlfn.RANK.EQ(Table13[[#This Row],[Gesamt S&amp;R]],Table13[Gesamt S&amp;R],0)," ")</f>
        <v>3</v>
      </c>
      <c r="AB9" s="8"/>
      <c r="AC9" s="12" t="str">
        <f>IF(Table13[[#This Row],[Zeit LC]]&gt;0,_xlfn.RANK.EQ(Table13[[#This Row],[Punkte LC]],Table13[Punkte LC],0)," ")</f>
        <v xml:space="preserve"> </v>
      </c>
      <c r="AD9" s="9">
        <f>IF(Table13[[#This Row],[Zeit LC]]&gt;0,MIN(Table13[Zeit LC])/Table13[[#This Row],[Zeit LC]]*1000,0)</f>
        <v>0</v>
      </c>
      <c r="AE9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9" s="9">
        <f>(Table13[[#This Row],[Punkte LC]]+Table13[[#This Row],[Bonus LC]])</f>
        <v>0</v>
      </c>
      <c r="AG9" s="12" t="str">
        <f>IF(Table13[[#This Row],[Zeit LC]]&gt;0,_xlfn.RANK.EQ(Table13[[#This Row],[Gesamt LC]],Table13[Gesamt LC],0)," ")</f>
        <v xml:space="preserve"> </v>
      </c>
      <c r="AH9" s="15">
        <f>MAX( Z9,AF9)</f>
        <v>992.35251274581219</v>
      </c>
      <c r="AI9" s="8"/>
      <c r="AJ9" s="5" t="str">
        <f>IF(Table13[[#This Row],[Zeit BZF]]&gt;0,_xlfn.RANK.EQ(Table13[[#This Row],[Punkte BZF]],Table13[Punkte BZF],0)," ")</f>
        <v xml:space="preserve"> </v>
      </c>
      <c r="AK9" s="9">
        <f>IF(Table13[[#This Row],[Zeit BZF]]&gt;0,MIN(Table13[Zeit BZF])/Table13[[#This Row],[Zeit BZF]]*1000,0)</f>
        <v>0</v>
      </c>
      <c r="AL9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9" s="9">
        <f>(Table13[[#This Row],[Punkte BZF]]+Table13[[#This Row],[Bonus BZF]])</f>
        <v>0</v>
      </c>
      <c r="AN9" s="12" t="str">
        <f>IF(Table13[[#This Row],[Zeit BZF]]&gt;0,_xlfn.RANK.EQ(Table13[[#This Row],[Gesamt BZF]],Table13[Gesamt BZF],0)," ")</f>
        <v xml:space="preserve"> </v>
      </c>
      <c r="AO9" s="11">
        <v>2.0844907407407406E-2</v>
      </c>
      <c r="AP9" s="5">
        <f>IF(Table13[[#This Row],[Zeit EZF]]&gt;0,_xlfn.RANK.EQ(Table13[[#This Row],[Punkte EZF]],Table13[Punkte EZF],0)," ")</f>
        <v>8</v>
      </c>
      <c r="AQ9" s="9">
        <f>IF(Table13[[#This Row],[Zeit EZF]]&gt;0,MIN(Table13[Zeit EZF])/Table13[[#This Row],[Zeit EZF]]*1000,0)</f>
        <v>928.37312604108831</v>
      </c>
      <c r="AR9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9" s="9">
        <f>(Table13[[#This Row],[Punkte EZF]]+Table13[[#This Row],[Bonus EZF]])</f>
        <v>928.37312604108831</v>
      </c>
      <c r="AT9" s="12">
        <f>IF(Table13[[#This Row],[Zeit EZF]]&gt;0,_xlfn.RANK.EQ(Table13[[#This Row],[Gesamt EZF]],Table13[Gesamt EZF],0)," ")</f>
        <v>10</v>
      </c>
      <c r="AU9" s="17">
        <f t="shared" ref="AU9:AU10" si="1">MAX( AM9,AS9)</f>
        <v>928.37312604108831</v>
      </c>
    </row>
    <row r="10" spans="1:47" x14ac:dyDescent="0.25">
      <c r="A10" s="1" t="s">
        <v>135</v>
      </c>
      <c r="B10" s="1" t="s">
        <v>136</v>
      </c>
      <c r="C10" s="5"/>
      <c r="D10" s="5">
        <v>2003</v>
      </c>
      <c r="E10" s="5">
        <f>IF(Table13[[#This Row],[JG]],2026-Table13[[#This Row],[JG]],0)</f>
        <v>23</v>
      </c>
      <c r="F10" s="4" t="s">
        <v>34</v>
      </c>
      <c r="G10" s="26">
        <f>SUM(U10, AH10, AU10)</f>
        <v>1909.0347991651688</v>
      </c>
      <c r="H10" s="24">
        <f>_xlfn.RANK.EQ(Table13[[#This Row],[Gesamtpunkte]],Table13[Gesamtpunkte],0)</f>
        <v>8</v>
      </c>
      <c r="I10" s="11"/>
      <c r="J10" s="4" t="str">
        <f>IF(Table13[[#This Row],[Zeit LSC]]&gt;0,_xlfn.RANK.EQ(Table13[[#This Row],[Punkte LSC]],Table13[Punkte LSC],0)," ")</f>
        <v xml:space="preserve"> </v>
      </c>
      <c r="K10" s="9">
        <f>IF(Table13[[#This Row],[Zeit LSC]]&gt;0,MIN(Table13[Zeit LSC])/Table13[[#This Row],[Zeit LSC]]*1000,0)</f>
        <v>0</v>
      </c>
      <c r="L10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0" s="9">
        <f>(Table13[[#This Row],[Punkte LSC]]+Table13[[#This Row],[Bonus LSC]])</f>
        <v>0</v>
      </c>
      <c r="N10" s="12" t="str">
        <f>IF(Table13[[#This Row],[Zeit LSC]]&gt;0,_xlfn.RANK.EQ(Table13[[#This Row],[Gesamt LSC]],Table13[Gesamt LSC],0)," ")</f>
        <v xml:space="preserve"> </v>
      </c>
      <c r="O10" s="8"/>
      <c r="P10" s="5" t="str">
        <f>IF(Table13[[#This Row],[Zeit LKC]]&gt;0,_xlfn.RANK.EQ(Table13[[#This Row],[Punkte LKC]],Table13[Punkte LKC],0)," ")</f>
        <v xml:space="preserve"> </v>
      </c>
      <c r="Q10" s="6">
        <f>IF(Table13[[#This Row],[Zeit LKC]]&gt;0,MIN(Table13[Zeit LKC])/Table13[[#This Row],[Zeit LKC]]*1000,0)</f>
        <v>0</v>
      </c>
      <c r="R10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0" s="6">
        <f>(Table13[[#This Row],[Punkte LKC]]+Table13[[#This Row],[Bonus LKC]])</f>
        <v>0</v>
      </c>
      <c r="T10" s="12" t="str">
        <f>IF(Table13[[#This Row],[Zeit LKC]]&gt;0,_xlfn.RANK.EQ(Table13[[#This Row],[Gesamt LKC]],Table13[Gesamt LKC],0)," ")</f>
        <v xml:space="preserve"> </v>
      </c>
      <c r="U10" s="15">
        <f>MAX( S10,M10)</f>
        <v>0</v>
      </c>
      <c r="V10" s="11">
        <v>3.3784722222222223E-2</v>
      </c>
      <c r="W10" s="5">
        <f>IF(Table13[[#This Row],[Zeit S&amp;R]]&gt;0,_xlfn.RANK.EQ(Table13[[#This Row],[Punkte S&amp;R]],Table13[Punkte S&amp;R],0)," ")</f>
        <v>7</v>
      </c>
      <c r="X10" s="9">
        <f>IF(Table13[[#This Row],[Zeit S&amp;R]]&gt;0,MIN(Table13[Zeit S&amp;R])/Table13[[#This Row],[Zeit S&amp;R]]*1000,0)</f>
        <v>933.53888317917097</v>
      </c>
      <c r="Y10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0" s="9">
        <f>(Table13[[#This Row],[Punkte S&amp;R]]+Table13[[#This Row],[Bonus S&amp;R]])</f>
        <v>933.53888317917097</v>
      </c>
      <c r="AA10" s="12">
        <f>IF(Table13[[#This Row],[Zeit S&amp;R]]&gt;0,_xlfn.RANK.EQ(Table13[[#This Row],[Gesamt S&amp;R]],Table13[Gesamt S&amp;R],0)," ")</f>
        <v>7</v>
      </c>
      <c r="AB10" s="11"/>
      <c r="AC10" s="12" t="str">
        <f>IF(Table13[[#This Row],[Zeit LC]]&gt;0,_xlfn.RANK.EQ(Table13[[#This Row],[Punkte LC]],Table13[Punkte LC],0)," ")</f>
        <v xml:space="preserve"> </v>
      </c>
      <c r="AD10" s="9">
        <f>IF(Table13[[#This Row],[Zeit LC]]&gt;0,MIN(Table13[Zeit LC])/Table13[[#This Row],[Zeit LC]]*1000,0)</f>
        <v>0</v>
      </c>
      <c r="AE10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0" s="9">
        <f>(Table13[[#This Row],[Punkte LC]]+Table13[[#This Row],[Bonus LC]])</f>
        <v>0</v>
      </c>
      <c r="AG10" s="12" t="str">
        <f>IF(Table13[[#This Row],[Zeit LC]]&gt;0,_xlfn.RANK.EQ(Table13[[#This Row],[Gesamt LC]],Table13[Gesamt LC],0)," ")</f>
        <v xml:space="preserve"> </v>
      </c>
      <c r="AH10" s="15">
        <f>MAX( Z10,AF10)</f>
        <v>933.53888317917097</v>
      </c>
      <c r="AI10" s="11">
        <v>3.7511574074074072E-2</v>
      </c>
      <c r="AJ10" s="5">
        <f>IF(Table13[[#This Row],[Zeit BZF]]&gt;0,_xlfn.RANK.EQ(Table13[[#This Row],[Punkte BZF]],Table13[Punkte BZF],0)," ")</f>
        <v>17</v>
      </c>
      <c r="AK10" s="9">
        <f>IF(Table13[[#This Row],[Zeit BZF]]&gt;0,MIN(Table13[Zeit BZF])/Table13[[#This Row],[Zeit BZF]]*1000,0)</f>
        <v>553.22431348349278</v>
      </c>
      <c r="AL10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0" s="9">
        <f>(Table13[[#This Row],[Punkte BZF]]+Table13[[#This Row],[Bonus BZF]])</f>
        <v>553.22431348349278</v>
      </c>
      <c r="AN10" s="12">
        <f>IF(Table13[[#This Row],[Zeit BZF]]&gt;0,_xlfn.RANK.EQ(Table13[[#This Row],[Gesamt BZF]],Table13[Gesamt BZF],0)," ")</f>
        <v>17</v>
      </c>
      <c r="AO10" s="11">
        <v>1.9837962962962963E-2</v>
      </c>
      <c r="AP10" s="5">
        <f>IF(Table13[[#This Row],[Zeit EZF]]&gt;0,_xlfn.RANK.EQ(Table13[[#This Row],[Punkte EZF]],Table13[Punkte EZF],0)," ")</f>
        <v>3</v>
      </c>
      <c r="AQ10" s="9">
        <f>IF(Table13[[#This Row],[Zeit EZF]]&gt;0,MIN(Table13[Zeit EZF])/Table13[[#This Row],[Zeit EZF]]*1000,0)</f>
        <v>975.49591598599773</v>
      </c>
      <c r="AR10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0" s="9">
        <f>(Table13[[#This Row],[Punkte EZF]]+Table13[[#This Row],[Bonus EZF]])</f>
        <v>975.49591598599773</v>
      </c>
      <c r="AT10" s="12">
        <f>IF(Table13[[#This Row],[Zeit EZF]]&gt;0,_xlfn.RANK.EQ(Table13[[#This Row],[Gesamt EZF]],Table13[Gesamt EZF],0)," ")</f>
        <v>3</v>
      </c>
      <c r="AU10" s="17">
        <f t="shared" si="1"/>
        <v>975.49591598599773</v>
      </c>
    </row>
    <row r="11" spans="1:47" x14ac:dyDescent="0.25">
      <c r="A11" s="1" t="s">
        <v>163</v>
      </c>
      <c r="B11" s="1" t="s">
        <v>140</v>
      </c>
      <c r="C11" s="4">
        <v>1</v>
      </c>
      <c r="D11" s="4">
        <v>1992</v>
      </c>
      <c r="E11" s="4">
        <f>IF(Table13[[#This Row],[JG]],2026-Table13[[#This Row],[JG]],0)</f>
        <v>34</v>
      </c>
      <c r="F11" s="4"/>
      <c r="G11" s="26">
        <f>SUM(U11, AH11, AU11)</f>
        <v>1803.366907835627</v>
      </c>
      <c r="H11" s="24">
        <f>_xlfn.RANK.EQ(Table13[[#This Row],[Gesamtpunkte]],Table13[Gesamtpunkte],0)</f>
        <v>9</v>
      </c>
      <c r="I11" s="8"/>
      <c r="J11" s="4" t="str">
        <f>IF(Table13[[#This Row],[Zeit LSC]]&gt;0,_xlfn.RANK.EQ(Table13[[#This Row],[Punkte LSC]],Table13[Punkte LSC],0)," ")</f>
        <v xml:space="preserve"> </v>
      </c>
      <c r="K11" s="6">
        <f>IF(Table13[[#This Row],[Zeit LSC]]&gt;0,MIN(Table13[Zeit LSC])/Table13[[#This Row],[Zeit LSC]]*1000,0)</f>
        <v>0</v>
      </c>
      <c r="L11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1" s="6">
        <f>(Table13[[#This Row],[Punkte LSC]]+Table13[[#This Row],[Bonus LSC]])</f>
        <v>0</v>
      </c>
      <c r="N11" s="12" t="str">
        <f>IF(Table13[[#This Row],[Zeit LSC]]&gt;0,_xlfn.RANK.EQ(Table13[[#This Row],[Gesamt LSC]],Table13[Gesamt LSC],0)," ")</f>
        <v xml:space="preserve"> </v>
      </c>
      <c r="O11" s="8"/>
      <c r="P11" s="4" t="str">
        <f>IF(Table13[[#This Row],[Zeit LKC]]&gt;0,_xlfn.RANK.EQ(Table13[[#This Row],[Punkte LKC]],Table13[Punkte LKC],0)," ")</f>
        <v xml:space="preserve"> </v>
      </c>
      <c r="Q11" s="6">
        <f>IF(Table13[[#This Row],[Zeit LKC]]&gt;0,MIN(Table13[Zeit LKC])/Table13[[#This Row],[Zeit LKC]]*1000,0)</f>
        <v>0</v>
      </c>
      <c r="R11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1" s="6">
        <f>(Table13[[#This Row],[Punkte LKC]]+Table13[[#This Row],[Bonus LKC]])</f>
        <v>0</v>
      </c>
      <c r="T11" s="12" t="str">
        <f>IF(Table13[[#This Row],[Zeit LKC]]&gt;0,_xlfn.RANK.EQ(Table13[[#This Row],[Gesamt LKC]],Table13[Gesamt LKC],0)," ")</f>
        <v xml:space="preserve"> </v>
      </c>
      <c r="U11" s="15">
        <f>MAX( S11,M11)</f>
        <v>0</v>
      </c>
      <c r="V11" s="8">
        <v>3.4965277777777776E-2</v>
      </c>
      <c r="W11" s="5">
        <f>IF(Table13[[#This Row],[Zeit S&amp;R]]&gt;0,_xlfn.RANK.EQ(Table13[[#This Row],[Punkte S&amp;R]],Table13[Punkte S&amp;R],0)," ")</f>
        <v>10</v>
      </c>
      <c r="X11" s="6">
        <f>IF(Table13[[#This Row],[Zeit S&amp;R]]&gt;0,MIN(Table13[Zeit S&amp;R])/Table13[[#This Row],[Zeit S&amp;R]]*1000,0)</f>
        <v>902.0191989407482</v>
      </c>
      <c r="Y11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1" s="6">
        <f>(Table13[[#This Row],[Punkte S&amp;R]]+Table13[[#This Row],[Bonus S&amp;R]])</f>
        <v>902.0191989407482</v>
      </c>
      <c r="AA11" s="12">
        <f>IF(Table13[[#This Row],[Zeit S&amp;R]]&gt;0,_xlfn.RANK.EQ(Table13[[#This Row],[Gesamt S&amp;R]],Table13[Gesamt S&amp;R],0)," ")</f>
        <v>11</v>
      </c>
      <c r="AB11" s="8"/>
      <c r="AC11" s="12" t="str">
        <f>IF(Table13[[#This Row],[Zeit LC]]&gt;0,_xlfn.RANK.EQ(Table13[[#This Row],[Punkte LC]],Table13[Punkte LC],0)," ")</f>
        <v xml:space="preserve"> </v>
      </c>
      <c r="AD11" s="6">
        <f>IF(Table13[[#This Row],[Zeit LC]]&gt;0,MIN(Table13[Zeit LC])/Table13[[#This Row],[Zeit LC]]*1000,0)</f>
        <v>0</v>
      </c>
      <c r="AE11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1" s="6">
        <f>(Table13[[#This Row],[Punkte LC]]+Table13[[#This Row],[Bonus LC]])</f>
        <v>0</v>
      </c>
      <c r="AG11" s="12" t="str">
        <f>IF(Table13[[#This Row],[Zeit LC]]&gt;0,_xlfn.RANK.EQ(Table13[[#This Row],[Gesamt LC]],Table13[Gesamt LC],0)," ")</f>
        <v xml:space="preserve"> </v>
      </c>
      <c r="AH11" s="15">
        <f>MAX( Z11,AF11)</f>
        <v>902.0191989407482</v>
      </c>
      <c r="AI11" s="8"/>
      <c r="AJ11" s="5" t="str">
        <f>IF(Table13[[#This Row],[Zeit BZF]]&gt;0,_xlfn.RANK.EQ(Table13[[#This Row],[Punkte BZF]],Table13[Punkte BZF],0)," ")</f>
        <v xml:space="preserve"> </v>
      </c>
      <c r="AK11" s="9">
        <f>IF(Table13[[#This Row],[Zeit BZF]]&gt;0,MIN(Table13[Zeit BZF])/Table13[[#This Row],[Zeit BZF]]*1000,0)</f>
        <v>0</v>
      </c>
      <c r="AL11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1" s="6">
        <f>(Table13[[#This Row],[Punkte BZF]]+Table13[[#This Row],[Bonus BZF]])</f>
        <v>0</v>
      </c>
      <c r="AN11" s="12" t="str">
        <f>IF(Table13[[#This Row],[Zeit BZF]]&gt;0,_xlfn.RANK.EQ(Table13[[#This Row],[Gesamt BZF]],Table13[Gesamt BZF],0)," ")</f>
        <v xml:space="preserve"> </v>
      </c>
      <c r="AO11" s="8">
        <v>2.1469907407407406E-2</v>
      </c>
      <c r="AP11" s="5">
        <f>IF(Table13[[#This Row],[Zeit EZF]]&gt;0,_xlfn.RANK.EQ(Table13[[#This Row],[Punkte EZF]],Table13[Punkte EZF],0)," ")</f>
        <v>10</v>
      </c>
      <c r="AQ11" s="9">
        <f>IF(Table13[[#This Row],[Zeit EZF]]&gt;0,MIN(Table13[Zeit EZF])/Table13[[#This Row],[Zeit EZF]]*1000,0)</f>
        <v>901.34770889487879</v>
      </c>
      <c r="AR11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1" s="6">
        <f>(Table13[[#This Row],[Punkte EZF]]+Table13[[#This Row],[Bonus EZF]])</f>
        <v>901.34770889487879</v>
      </c>
      <c r="AT11" s="12">
        <f>IF(Table13[[#This Row],[Zeit EZF]]&gt;0,_xlfn.RANK.EQ(Table13[[#This Row],[Gesamt EZF]],Table13[Gesamt EZF],0)," ")</f>
        <v>12</v>
      </c>
      <c r="AU11" s="17">
        <f t="shared" si="0"/>
        <v>901.34770889487879</v>
      </c>
    </row>
    <row r="12" spans="1:47" x14ac:dyDescent="0.25">
      <c r="A12" s="1" t="s">
        <v>71</v>
      </c>
      <c r="B12" s="1" t="s">
        <v>66</v>
      </c>
      <c r="C12" s="4">
        <v>1</v>
      </c>
      <c r="D12" s="4">
        <v>1973</v>
      </c>
      <c r="E12" s="4">
        <f>IF(Table13[[#This Row],[JG]],2026-Table13[[#This Row],[JG]],0)</f>
        <v>53</v>
      </c>
      <c r="F12" s="4"/>
      <c r="G12" s="26">
        <f>SUM(U12, AH12, AU12)</f>
        <v>1722.0673776182307</v>
      </c>
      <c r="H12" s="24">
        <f>_xlfn.RANK.EQ(Table13[[#This Row],[Gesamtpunkte]],Table13[Gesamtpunkte],0)</f>
        <v>10</v>
      </c>
      <c r="I12" s="8"/>
      <c r="J12" s="4" t="str">
        <f>IF(Table13[[#This Row],[Zeit LSC]]&gt;0,_xlfn.RANK.EQ(Table13[[#This Row],[Punkte LSC]],Table13[Punkte LSC],0)," ")</f>
        <v xml:space="preserve"> </v>
      </c>
      <c r="K12" s="6">
        <f>IF(Table13[[#This Row],[Zeit LSC]]&gt;0,MIN(Table13[Zeit LSC])/Table13[[#This Row],[Zeit LSC]]*1000,0)</f>
        <v>0</v>
      </c>
      <c r="L12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2" s="6">
        <f>(Table13[[#This Row],[Punkte LSC]]+Table13[[#This Row],[Bonus LSC]])</f>
        <v>0</v>
      </c>
      <c r="N12" s="12" t="str">
        <f>IF(Table13[[#This Row],[Zeit LSC]]&gt;0,_xlfn.RANK.EQ(Table13[[#This Row],[Gesamt LSC]],Table13[Gesamt LSC],0)," ")</f>
        <v xml:space="preserve"> </v>
      </c>
      <c r="O12" s="8"/>
      <c r="P12" s="4" t="str">
        <f>IF(Table13[[#This Row],[Zeit LKC]]&gt;0,_xlfn.RANK.EQ(Table13[[#This Row],[Punkte LKC]],Table13[Punkte LKC],0)," ")</f>
        <v xml:space="preserve"> </v>
      </c>
      <c r="Q12" s="6">
        <f>IF(Table13[[#This Row],[Zeit LKC]]&gt;0,MIN(Table13[Zeit LKC])/Table13[[#This Row],[Zeit LKC]]*1000,0)</f>
        <v>0</v>
      </c>
      <c r="R12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2" s="6">
        <f>(Table13[[#This Row],[Punkte LKC]]+Table13[[#This Row],[Bonus LKC]])</f>
        <v>0</v>
      </c>
      <c r="T12" s="12" t="str">
        <f>IF(Table13[[#This Row],[Zeit LKC]]&gt;0,_xlfn.RANK.EQ(Table13[[#This Row],[Gesamt LKC]],Table13[Gesamt LKC],0)," ")</f>
        <v xml:space="preserve"> </v>
      </c>
      <c r="U12" s="15">
        <f>MAX( S12,M12)</f>
        <v>0</v>
      </c>
      <c r="V12" s="8"/>
      <c r="W12" s="5" t="str">
        <f>IF(Table13[[#This Row],[Zeit S&amp;R]]&gt;0,_xlfn.RANK.EQ(Table13[[#This Row],[Punkte S&amp;R]],Table13[Punkte S&amp;R],0)," ")</f>
        <v xml:space="preserve"> </v>
      </c>
      <c r="X12" s="6">
        <f>IF(Table13[[#This Row],[Zeit S&amp;R]]&gt;0,MIN(Table13[Zeit S&amp;R])/Table13[[#This Row],[Zeit S&amp;R]]*1000,0)</f>
        <v>0</v>
      </c>
      <c r="Y12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2" s="6">
        <f>(Table13[[#This Row],[Punkte S&amp;R]]+Table13[[#This Row],[Bonus S&amp;R]])</f>
        <v>0</v>
      </c>
      <c r="AA12" s="12" t="str">
        <f>IF(Table13[[#This Row],[Zeit S&amp;R]]&gt;0,_xlfn.RANK.EQ(Table13[[#This Row],[Gesamt S&amp;R]],Table13[Gesamt S&amp;R],0)," ")</f>
        <v xml:space="preserve"> </v>
      </c>
      <c r="AB12" s="8">
        <v>7.2650462962962958E-2</v>
      </c>
      <c r="AC12" s="12">
        <f>IF(Table13[[#This Row],[Zeit LC]]&gt;0,_xlfn.RANK.EQ(Table13[[#This Row],[Punkte LC]],Table13[Punkte LC],0)," ")</f>
        <v>6</v>
      </c>
      <c r="AD12" s="6">
        <f>IF(Table13[[#This Row],[Zeit LC]]&gt;0,MIN(Table13[Zeit LC])/Table13[[#This Row],[Zeit LC]]*1000,0)</f>
        <v>876.85199936275308</v>
      </c>
      <c r="AE12" s="6">
        <f>IF(Table13[[#This Row],[Zeit LC]]&gt;0,SUM(IF(Table13[[#This Row],[Alter]]&gt;40,(Table13[[#This Row],[Alter]]-40)*4,0),IF(AND(Table13[[#This Row],[Alter]]&lt;20,Table13[[#This Row],[Alter]]&gt;0),(20-Table13[[#This Row],[Alter]])*10,0)),0)</f>
        <v>52</v>
      </c>
      <c r="AF12" s="6">
        <f>(Table13[[#This Row],[Punkte LC]]+Table13[[#This Row],[Bonus LC]])</f>
        <v>928.85199936275308</v>
      </c>
      <c r="AG12" s="12">
        <f>IF(Table13[[#This Row],[Zeit LC]]&gt;0,_xlfn.RANK.EQ(Table13[[#This Row],[Gesamt LC]],Table13[Gesamt LC],0)," ")</f>
        <v>4</v>
      </c>
      <c r="AH12" s="15">
        <f>MAX( Z12,AF12)</f>
        <v>928.85199936275308</v>
      </c>
      <c r="AI12" s="8">
        <v>2.7997685185185184E-2</v>
      </c>
      <c r="AJ12" s="5">
        <f>IF(Table13[[#This Row],[Zeit BZF]]&gt;0,_xlfn.RANK.EQ(Table13[[#This Row],[Punkte BZF]],Table13[Punkte BZF],0)," ")</f>
        <v>7</v>
      </c>
      <c r="AK12" s="9">
        <f>IF(Table13[[#This Row],[Zeit BZF]]&gt;0,MIN(Table13[Zeit BZF])/Table13[[#This Row],[Zeit BZF]]*1000,0)</f>
        <v>741.2153782554775</v>
      </c>
      <c r="AL12" s="7">
        <f>IF(Table13[[#This Row],[Zeit BZF]]&gt;0,SUM(IF(Table13[[#This Row],[Alter]]&gt;40,(Table13[[#This Row],[Alter]]-40)*4,0),IF(AND(Table13[[#This Row],[Alter]]&lt;20,Table13[[#This Row],[Alter]]&gt;0),(20-Table13[[#This Row],[Alter]])*10,0)),0)</f>
        <v>52</v>
      </c>
      <c r="AM12" s="6">
        <f>(Table13[[#This Row],[Punkte BZF]]+Table13[[#This Row],[Bonus BZF]])</f>
        <v>793.2153782554775</v>
      </c>
      <c r="AN12" s="12">
        <f>IF(Table13[[#This Row],[Zeit BZF]]&gt;0,_xlfn.RANK.EQ(Table13[[#This Row],[Gesamt BZF]],Table13[Gesamt BZF],0)," ")</f>
        <v>4</v>
      </c>
      <c r="AO12" s="8"/>
      <c r="AP12" s="5" t="str">
        <f>IF(Table13[[#This Row],[Zeit EZF]]&gt;0,_xlfn.RANK.EQ(Table13[[#This Row],[Punkte EZF]],Table13[Punkte EZF],0)," ")</f>
        <v xml:space="preserve"> </v>
      </c>
      <c r="AQ12" s="9">
        <f>IF(Table13[[#This Row],[Zeit EZF]]&gt;0,MIN(Table13[Zeit EZF])/Table13[[#This Row],[Zeit EZF]]*1000,0)</f>
        <v>0</v>
      </c>
      <c r="AR12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2" s="6">
        <f>(Table13[[#This Row],[Punkte EZF]]+Table13[[#This Row],[Bonus EZF]])</f>
        <v>0</v>
      </c>
      <c r="AT12" s="12" t="str">
        <f>IF(Table13[[#This Row],[Zeit EZF]]&gt;0,_xlfn.RANK.EQ(Table13[[#This Row],[Gesamt EZF]],Table13[Gesamt EZF],0)," ")</f>
        <v xml:space="preserve"> </v>
      </c>
      <c r="AU12" s="17">
        <f t="shared" si="0"/>
        <v>793.2153782554775</v>
      </c>
    </row>
    <row r="13" spans="1:47" x14ac:dyDescent="0.25">
      <c r="A13" s="1" t="s">
        <v>139</v>
      </c>
      <c r="B13" s="1" t="s">
        <v>68</v>
      </c>
      <c r="C13" s="5"/>
      <c r="D13" s="5">
        <v>1997</v>
      </c>
      <c r="E13" s="5">
        <f>IF(Table13[[#This Row],[JG]],2026-Table13[[#This Row],[JG]],0)</f>
        <v>29</v>
      </c>
      <c r="F13" s="5"/>
      <c r="G13" s="26">
        <f>SUM(U13, AH13, AU13)</f>
        <v>1628.8267694776014</v>
      </c>
      <c r="H13" s="24">
        <f>_xlfn.RANK.EQ(Table13[[#This Row],[Gesamtpunkte]],Table13[Gesamtpunkte],0)</f>
        <v>11</v>
      </c>
      <c r="I13" s="19"/>
      <c r="J13" s="20" t="str">
        <f>IF(Table13[[#This Row],[Zeit LSC]]&gt;0,_xlfn.RANK.EQ(Table13[[#This Row],[Punkte LSC]],Table13[Punkte LSC],0)," ")</f>
        <v xml:space="preserve"> </v>
      </c>
      <c r="K13" s="21">
        <f>IF(Table13[[#This Row],[Zeit LSC]]&gt;0,MIN(Table13[Zeit LSC])/Table13[[#This Row],[Zeit LSC]]*1000,0)</f>
        <v>0</v>
      </c>
      <c r="L13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3" s="21">
        <f>(Table13[[#This Row],[Punkte LSC]]+Table13[[#This Row],[Bonus LSC]])</f>
        <v>0</v>
      </c>
      <c r="N13" s="23" t="str">
        <f>IF(Table13[[#This Row],[Zeit LSC]]&gt;0,_xlfn.RANK.EQ(Table13[[#This Row],[Gesamt LSC]],Table13[Gesamt LSC],0)," ")</f>
        <v xml:space="preserve"> </v>
      </c>
      <c r="O13" s="5"/>
      <c r="P13" s="5" t="str">
        <f>IF(Table13[[#This Row],[Zeit LKC]]&gt;0,_xlfn.RANK.EQ(Table13[[#This Row],[Punkte LKC]],Table13[Punkte LKC],0)," ")</f>
        <v xml:space="preserve"> </v>
      </c>
      <c r="Q13" s="6">
        <f>IF(Table13[[#This Row],[Zeit LKC]]&gt;0,MIN(Table13[Zeit LKC])/Table13[[#This Row],[Zeit LKC]]*1000,0)</f>
        <v>0</v>
      </c>
      <c r="R13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3" s="9">
        <f>(Table13[[#This Row],[Punkte LKC]]+Table13[[#This Row],[Bonus LKC]])</f>
        <v>0</v>
      </c>
      <c r="T13" s="13" t="str">
        <f>IF(Table13[[#This Row],[Zeit LKC]]&gt;0,_xlfn.RANK.EQ(Table13[[#This Row],[Gesamt LKC]],Table13[Gesamt LKC],0)," ")</f>
        <v xml:space="preserve"> </v>
      </c>
      <c r="U13" s="15">
        <f>MAX( S13,M13)</f>
        <v>0</v>
      </c>
      <c r="V13" s="11">
        <v>3.4930555555555555E-2</v>
      </c>
      <c r="W13" s="5">
        <f>IF(Table13[[#This Row],[Zeit S&amp;R]]&gt;0,_xlfn.RANK.EQ(Table13[[#This Row],[Punkte S&amp;R]],Table13[Punkte S&amp;R],0)," ")</f>
        <v>9</v>
      </c>
      <c r="X13" s="9">
        <f>IF(Table13[[#This Row],[Zeit S&amp;R]]&gt;0,MIN(Table13[Zeit S&amp;R])/Table13[[#This Row],[Zeit S&amp;R]]*1000,0)</f>
        <v>902.91583830351226</v>
      </c>
      <c r="Y13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3" s="9">
        <f>(Table13[[#This Row],[Punkte S&amp;R]]+Table13[[#This Row],[Bonus S&amp;R]])</f>
        <v>902.91583830351226</v>
      </c>
      <c r="AA13" s="13">
        <f>IF(Table13[[#This Row],[Zeit S&amp;R]]&gt;0,_xlfn.RANK.EQ(Table13[[#This Row],[Gesamt S&amp;R]],Table13[Gesamt S&amp;R],0)," ")</f>
        <v>10</v>
      </c>
      <c r="AB13" s="11"/>
      <c r="AC13" s="13" t="str">
        <f>IF(Table13[[#This Row],[Zeit LC]]&gt;0,_xlfn.RANK.EQ(Table13[[#This Row],[Punkte LC]],Table13[Punkte LC],0)," ")</f>
        <v xml:space="preserve"> </v>
      </c>
      <c r="AD13" s="9">
        <f>IF(Table13[[#This Row],[Zeit LC]]&gt;0,MIN(Table13[Zeit LC])/Table13[[#This Row],[Zeit LC]]*1000,0)</f>
        <v>0</v>
      </c>
      <c r="AE13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3" s="9">
        <f>(Table13[[#This Row],[Punkte LC]]+Table13[[#This Row],[Bonus LC]])</f>
        <v>0</v>
      </c>
      <c r="AG13" s="13" t="str">
        <f>IF(Table13[[#This Row],[Zeit LC]]&gt;0,_xlfn.RANK.EQ(Table13[[#This Row],[Gesamt LC]],Table13[Gesamt LC],0)," ")</f>
        <v xml:space="preserve"> </v>
      </c>
      <c r="AH13" s="15">
        <f>MAX( Z13,AF13)</f>
        <v>902.91583830351226</v>
      </c>
      <c r="AI13" s="11">
        <v>2.8587962962962964E-2</v>
      </c>
      <c r="AJ13" s="5">
        <f>IF(Table13[[#This Row],[Zeit BZF]]&gt;0,_xlfn.RANK.EQ(Table13[[#This Row],[Punkte BZF]],Table13[Punkte BZF],0)," ")</f>
        <v>8</v>
      </c>
      <c r="AK13" s="9">
        <f>IF(Table13[[#This Row],[Zeit BZF]]&gt;0,MIN(Table13[Zeit BZF])/Table13[[#This Row],[Zeit BZF]]*1000,0)</f>
        <v>725.910931174089</v>
      </c>
      <c r="AL13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3" s="9">
        <f>(Table13[[#This Row],[Punkte BZF]]+Table13[[#This Row],[Bonus BZF]])</f>
        <v>725.910931174089</v>
      </c>
      <c r="AN13" s="13">
        <f>IF(Table13[[#This Row],[Zeit BZF]]&gt;0,_xlfn.RANK.EQ(Table13[[#This Row],[Gesamt BZF]],Table13[Gesamt BZF],0)," ")</f>
        <v>9</v>
      </c>
      <c r="AO13" s="11"/>
      <c r="AP13" s="5" t="str">
        <f>IF(Table13[[#This Row],[Zeit EZF]]&gt;0,_xlfn.RANK.EQ(Table13[[#This Row],[Punkte EZF]],Table13[Punkte EZF],0)," ")</f>
        <v xml:space="preserve"> </v>
      </c>
      <c r="AQ13" s="9">
        <f>IF(Table13[[#This Row],[Zeit EZF]]&gt;0,MIN(Table13[Zeit EZF])/Table13[[#This Row],[Zeit EZF]]*1000,0)</f>
        <v>0</v>
      </c>
      <c r="AR13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3" s="9">
        <f>(Table13[[#This Row],[Punkte EZF]]+Table13[[#This Row],[Bonus EZF]])</f>
        <v>0</v>
      </c>
      <c r="AT13" s="13" t="str">
        <f>IF(Table13[[#This Row],[Zeit EZF]]&gt;0,_xlfn.RANK.EQ(Table13[[#This Row],[Gesamt EZF]],Table13[Gesamt EZF],0)," ")</f>
        <v xml:space="preserve"> </v>
      </c>
      <c r="AU13" s="17">
        <f t="shared" si="0"/>
        <v>725.910931174089</v>
      </c>
    </row>
    <row r="14" spans="1:47" x14ac:dyDescent="0.25">
      <c r="A14" s="1" t="s">
        <v>124</v>
      </c>
      <c r="B14" s="1" t="s">
        <v>101</v>
      </c>
      <c r="C14" s="5"/>
      <c r="D14" s="5">
        <v>1996</v>
      </c>
      <c r="E14" s="5">
        <f>IF(Table13[[#This Row],[JG]],2026-Table13[[#This Row],[JG]],0)</f>
        <v>30</v>
      </c>
      <c r="F14" s="4" t="s">
        <v>34</v>
      </c>
      <c r="G14" s="26">
        <f>SUM(U14, AH14, AU14)</f>
        <v>1592.24095359846</v>
      </c>
      <c r="H14" s="24">
        <f>_xlfn.RANK.EQ(Table13[[#This Row],[Gesamtpunkte]],Table13[Gesamtpunkte],0)</f>
        <v>12</v>
      </c>
      <c r="I14" s="8"/>
      <c r="J14" s="4" t="str">
        <f>IF(Table13[[#This Row],[Zeit LSC]]&gt;0,_xlfn.RANK.EQ(Table13[[#This Row],[Punkte LSC]],Table13[Punkte LSC],0)," ")</f>
        <v xml:space="preserve"> </v>
      </c>
      <c r="K14" s="6">
        <f>IF(Table13[[#This Row],[Zeit LSC]]&gt;0,MIN(Table13[Zeit LSC])/Table13[[#This Row],[Zeit LSC]]*1000,0)</f>
        <v>0</v>
      </c>
      <c r="L14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4" s="6">
        <f>(Table13[[#This Row],[Punkte LSC]]+Table13[[#This Row],[Bonus LSC]])</f>
        <v>0</v>
      </c>
      <c r="N14" s="12" t="str">
        <f>IF(Table13[[#This Row],[Zeit LSC]]&gt;0,_xlfn.RANK.EQ(Table13[[#This Row],[Gesamt LSC]],Table13[Gesamt LSC],0)," ")</f>
        <v xml:space="preserve"> </v>
      </c>
      <c r="O14" s="8"/>
      <c r="P14" s="4" t="str">
        <f>IF(Table13[[#This Row],[Zeit LKC]]&gt;0,_xlfn.RANK.EQ(Table13[[#This Row],[Punkte LKC]],Table13[Punkte LKC],0)," ")</f>
        <v xml:space="preserve"> </v>
      </c>
      <c r="Q14" s="6">
        <f>IF(Table13[[#This Row],[Zeit LKC]]&gt;0,MIN(Table13[Zeit LKC])/Table13[[#This Row],[Zeit LKC]]*1000,0)</f>
        <v>0</v>
      </c>
      <c r="R1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4" s="6">
        <f>(Table13[[#This Row],[Punkte LKC]]+Table13[[#This Row],[Bonus LKC]])</f>
        <v>0</v>
      </c>
      <c r="T14" s="6" t="str">
        <f>IF(Table13[[#This Row],[Zeit LKC]]&gt;0,_xlfn.RANK.EQ(Table13[[#This Row],[Gesamt LKC]],Table13[Gesamt LKC],0)," ")</f>
        <v xml:space="preserve"> </v>
      </c>
      <c r="U14" s="15">
        <f>MAX( S14,M14)</f>
        <v>0</v>
      </c>
      <c r="V14" s="11">
        <v>3.9432870370370368E-2</v>
      </c>
      <c r="W14" s="5">
        <f>IF(Table13[[#This Row],[Zeit S&amp;R]]&gt;0,_xlfn.RANK.EQ(Table13[[#This Row],[Punkte S&amp;R]],Table13[Punkte S&amp;R],0)," ")</f>
        <v>16</v>
      </c>
      <c r="X14" s="9">
        <f>IF(Table13[[#This Row],[Zeit S&amp;R]]&gt;0,MIN(Table13[Zeit S&amp;R])/Table13[[#This Row],[Zeit S&amp;R]]*1000,0)</f>
        <v>799.82389198708552</v>
      </c>
      <c r="Y14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4" s="9">
        <f>(Table13[[#This Row],[Punkte S&amp;R]]+Table13[[#This Row],[Bonus S&amp;R]])</f>
        <v>799.82389198708552</v>
      </c>
      <c r="AA14" s="13">
        <f>IF(Table13[[#This Row],[Zeit S&amp;R]]&gt;0,_xlfn.RANK.EQ(Table13[[#This Row],[Gesamt S&amp;R]],Table13[Gesamt S&amp;R],0)," ")</f>
        <v>16</v>
      </c>
      <c r="AB14" s="11"/>
      <c r="AC14" s="13" t="str">
        <f>IF(Table13[[#This Row],[Zeit LC]]&gt;0,_xlfn.RANK.EQ(Table13[[#This Row],[Punkte LC]],Table13[Punkte LC],0)," ")</f>
        <v xml:space="preserve"> </v>
      </c>
      <c r="AD14" s="9">
        <f>IF(Table13[[#This Row],[Zeit LC]]&gt;0,MIN(Table13[Zeit LC])/Table13[[#This Row],[Zeit LC]]*1000,0)</f>
        <v>0</v>
      </c>
      <c r="AE14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4" s="9">
        <f>(Table13[[#This Row],[Punkte LC]]+Table13[[#This Row],[Bonus LC]])</f>
        <v>0</v>
      </c>
      <c r="AG14" s="13" t="str">
        <f>IF(Table13[[#This Row],[Zeit LC]]&gt;0,_xlfn.RANK.EQ(Table13[[#This Row],[Gesamt LC]],Table13[Gesamt LC],0)," ")</f>
        <v xml:space="preserve"> </v>
      </c>
      <c r="AH14" s="15">
        <f>MAX( Z14,AF14)</f>
        <v>799.82389198708552</v>
      </c>
      <c r="AI14" s="11"/>
      <c r="AJ14" s="5" t="str">
        <f>IF(Table13[[#This Row],[Zeit BZF]]&gt;0,_xlfn.RANK.EQ(Table13[[#This Row],[Punkte BZF]],Table13[Punkte BZF],0)," ")</f>
        <v xml:space="preserve"> </v>
      </c>
      <c r="AK14" s="9">
        <f>IF(Table13[[#This Row],[Zeit BZF]]&gt;0,MIN(Table13[Zeit BZF])/Table13[[#This Row],[Zeit BZF]]*1000,0)</f>
        <v>0</v>
      </c>
      <c r="AL14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4" s="9">
        <f>(Table13[[#This Row],[Punkte BZF]]+Table13[[#This Row],[Bonus BZF]])</f>
        <v>0</v>
      </c>
      <c r="AN14" s="13" t="str">
        <f>IF(Table13[[#This Row],[Zeit BZF]]&gt;0,_xlfn.RANK.EQ(Table13[[#This Row],[Gesamt BZF]],Table13[Gesamt BZF],0)," ")</f>
        <v xml:space="preserve"> </v>
      </c>
      <c r="AO14" s="11">
        <v>2.4421296296296295E-2</v>
      </c>
      <c r="AP14" s="5">
        <f>IF(Table13[[#This Row],[Zeit EZF]]&gt;0,_xlfn.RANK.EQ(Table13[[#This Row],[Punkte EZF]],Table13[Punkte EZF],0)," ")</f>
        <v>21</v>
      </c>
      <c r="AQ14" s="9">
        <f>IF(Table13[[#This Row],[Zeit EZF]]&gt;0,MIN(Table13[Zeit EZF])/Table13[[#This Row],[Zeit EZF]]*1000,0)</f>
        <v>792.41706161137449</v>
      </c>
      <c r="AR14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4" s="9">
        <f>(Table13[[#This Row],[Punkte EZF]]+Table13[[#This Row],[Bonus EZF]])</f>
        <v>792.41706161137449</v>
      </c>
      <c r="AT14" s="13">
        <f>IF(Table13[[#This Row],[Zeit EZF]]&gt;0,_xlfn.RANK.EQ(Table13[[#This Row],[Gesamt EZF]],Table13[Gesamt EZF],0)," ")</f>
        <v>25</v>
      </c>
      <c r="AU14" s="17">
        <f t="shared" si="0"/>
        <v>792.41706161137449</v>
      </c>
    </row>
    <row r="15" spans="1:47" x14ac:dyDescent="0.25">
      <c r="A15" s="1" t="s">
        <v>147</v>
      </c>
      <c r="B15" s="1" t="s">
        <v>148</v>
      </c>
      <c r="C15" s="4"/>
      <c r="D15" s="4">
        <v>2001</v>
      </c>
      <c r="E15" s="4">
        <f>IF(Table13[[#This Row],[JG]],2026-Table13[[#This Row],[JG]],0)</f>
        <v>25</v>
      </c>
      <c r="F15" s="4"/>
      <c r="G15" s="26">
        <f>SUM(U15, AH15, AU15)</f>
        <v>1584.4506982155567</v>
      </c>
      <c r="H15" s="24">
        <f>_xlfn.RANK.EQ(Table13[[#This Row],[Gesamtpunkte]],Table13[Gesamtpunkte],0)</f>
        <v>13</v>
      </c>
      <c r="I15" s="8"/>
      <c r="J15" s="4" t="str">
        <f>IF(Table13[[#This Row],[Zeit LSC]]&gt;0,_xlfn.RANK.EQ(Table13[[#This Row],[Punkte LSC]],Table13[Punkte LSC],0)," ")</f>
        <v xml:space="preserve"> </v>
      </c>
      <c r="K15" s="6">
        <f>IF(Table13[[#This Row],[Zeit LSC]]&gt;0,MIN(Table13[Zeit LSC])/Table13[[#This Row],[Zeit LSC]]*1000,0)</f>
        <v>0</v>
      </c>
      <c r="L15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5" s="6">
        <f>(Table13[[#This Row],[Punkte LSC]]+Table13[[#This Row],[Bonus LSC]])</f>
        <v>0</v>
      </c>
      <c r="N15" s="12" t="str">
        <f>IF(Table13[[#This Row],[Zeit LSC]]&gt;0,_xlfn.RANK.EQ(Table13[[#This Row],[Gesamt LSC]],Table13[Gesamt LSC],0)," ")</f>
        <v xml:space="preserve"> </v>
      </c>
      <c r="O15" s="8"/>
      <c r="P15" s="4" t="str">
        <f>IF(Table13[[#This Row],[Zeit LKC]]&gt;0,_xlfn.RANK.EQ(Table13[[#This Row],[Punkte LKC]],Table13[Punkte LKC],0)," ")</f>
        <v xml:space="preserve"> </v>
      </c>
      <c r="Q15" s="6">
        <f>IF(Table13[[#This Row],[Zeit LKC]]&gt;0,MIN(Table13[Zeit LKC])/Table13[[#This Row],[Zeit LKC]]*1000,0)</f>
        <v>0</v>
      </c>
      <c r="R15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5" s="6">
        <f>(Table13[[#This Row],[Punkte LKC]]+Table13[[#This Row],[Bonus LKC]])</f>
        <v>0</v>
      </c>
      <c r="T15" s="12" t="str">
        <f>IF(Table13[[#This Row],[Zeit LKC]]&gt;0,_xlfn.RANK.EQ(Table13[[#This Row],[Gesamt LKC]],Table13[Gesamt LKC],0)," ")</f>
        <v xml:space="preserve"> </v>
      </c>
      <c r="U15" s="15">
        <f>MAX( S15,M15)</f>
        <v>0</v>
      </c>
      <c r="V15" s="8"/>
      <c r="W15" s="5" t="str">
        <f>IF(Table13[[#This Row],[Zeit S&amp;R]]&gt;0,_xlfn.RANK.EQ(Table13[[#This Row],[Punkte S&amp;R]],Table13[Punkte S&amp;R],0)," ")</f>
        <v xml:space="preserve"> </v>
      </c>
      <c r="X15" s="6">
        <f>IF(Table13[[#This Row],[Zeit S&amp;R]]&gt;0,MIN(Table13[Zeit S&amp;R])/Table13[[#This Row],[Zeit S&amp;R]]*1000,0)</f>
        <v>0</v>
      </c>
      <c r="Y15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5" s="6">
        <f>(Table13[[#This Row],[Punkte S&amp;R]]+Table13[[#This Row],[Bonus S&amp;R]])</f>
        <v>0</v>
      </c>
      <c r="AA15" s="12" t="str">
        <f>IF(Table13[[#This Row],[Zeit S&amp;R]]&gt;0,_xlfn.RANK.EQ(Table13[[#This Row],[Gesamt S&amp;R]],Table13[Gesamt S&amp;R],0)," ")</f>
        <v xml:space="preserve"> </v>
      </c>
      <c r="AB15" s="8">
        <v>7.1770833333333339E-2</v>
      </c>
      <c r="AC15" s="12">
        <f>IF(Table13[[#This Row],[Zeit LC]]&gt;0,_xlfn.RANK.EQ(Table13[[#This Row],[Punkte LC]],Table13[Punkte LC],0)," ")</f>
        <v>5</v>
      </c>
      <c r="AD15" s="6">
        <f>IF(Table13[[#This Row],[Zeit LC]]&gt;0,MIN(Table13[Zeit LC])/Table13[[#This Row],[Zeit LC]]*1000,0)</f>
        <v>887.59877439122715</v>
      </c>
      <c r="AE15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5" s="6">
        <f>(Table13[[#This Row],[Punkte LC]]+Table13[[#This Row],[Bonus LC]])</f>
        <v>887.59877439122715</v>
      </c>
      <c r="AG15" s="12">
        <f>IF(Table13[[#This Row],[Zeit LC]]&gt;0,_xlfn.RANK.EQ(Table13[[#This Row],[Gesamt LC]],Table13[Gesamt LC],0)," ")</f>
        <v>6</v>
      </c>
      <c r="AH15" s="15">
        <f>MAX( Z15,AF15)</f>
        <v>887.59877439122715</v>
      </c>
      <c r="AI15" s="8">
        <v>2.9780092592592594E-2</v>
      </c>
      <c r="AJ15" s="5">
        <f>IF(Table13[[#This Row],[Zeit BZF]]&gt;0,_xlfn.RANK.EQ(Table13[[#This Row],[Punkte BZF]],Table13[Punkte BZF],0)," ")</f>
        <v>11</v>
      </c>
      <c r="AK15" s="9">
        <f>IF(Table13[[#This Row],[Zeit BZF]]&gt;0,MIN(Table13[Zeit BZF])/Table13[[#This Row],[Zeit BZF]]*1000,0)</f>
        <v>696.85192382432945</v>
      </c>
      <c r="AL15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5" s="6">
        <f>(Table13[[#This Row],[Punkte BZF]]+Table13[[#This Row],[Bonus BZF]])</f>
        <v>696.85192382432945</v>
      </c>
      <c r="AN15" s="12">
        <f>IF(Table13[[#This Row],[Zeit BZF]]&gt;0,_xlfn.RANK.EQ(Table13[[#This Row],[Gesamt BZF]],Table13[Gesamt BZF],0)," ")</f>
        <v>12</v>
      </c>
      <c r="AO15" s="8"/>
      <c r="AP15" s="5" t="str">
        <f>IF(Table13[[#This Row],[Zeit EZF]]&gt;0,_xlfn.RANK.EQ(Table13[[#This Row],[Punkte EZF]],Table13[Punkte EZF],0)," ")</f>
        <v xml:space="preserve"> </v>
      </c>
      <c r="AQ15" s="9">
        <f>IF(Table13[[#This Row],[Zeit EZF]]&gt;0,MIN(Table13[Zeit EZF])/Table13[[#This Row],[Zeit EZF]]*1000,0)</f>
        <v>0</v>
      </c>
      <c r="AR15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5" s="6">
        <f>(Table13[[#This Row],[Punkte EZF]]+Table13[[#This Row],[Bonus EZF]])</f>
        <v>0</v>
      </c>
      <c r="AT15" s="12" t="str">
        <f>IF(Table13[[#This Row],[Zeit EZF]]&gt;0,_xlfn.RANK.EQ(Table13[[#This Row],[Gesamt EZF]],Table13[Gesamt EZF],0)," ")</f>
        <v xml:space="preserve"> </v>
      </c>
      <c r="AU15" s="17">
        <f t="shared" ref="AU15" si="2">MAX( AM15,AS15)</f>
        <v>696.85192382432945</v>
      </c>
    </row>
    <row r="16" spans="1:47" x14ac:dyDescent="0.25">
      <c r="A16" s="1" t="s">
        <v>150</v>
      </c>
      <c r="B16" s="1" t="s">
        <v>151</v>
      </c>
      <c r="C16" s="5"/>
      <c r="D16" s="5">
        <v>1958</v>
      </c>
      <c r="E16" s="5">
        <f>IF(Table13[[#This Row],[JG]],2026-Table13[[#This Row],[JG]],0)</f>
        <v>68</v>
      </c>
      <c r="F16" s="4" t="s">
        <v>34</v>
      </c>
      <c r="G16" s="26">
        <f>SUM(U16, AH16, AU16)</f>
        <v>1574.7447838667156</v>
      </c>
      <c r="H16" s="24">
        <f>_xlfn.RANK.EQ(Table13[[#This Row],[Gesamtpunkte]],Table13[Gesamtpunkte],0)</f>
        <v>14</v>
      </c>
      <c r="I16" s="11"/>
      <c r="J16" s="4" t="str">
        <f>IF(Table13[[#This Row],[Zeit LSC]]&gt;0,_xlfn.RANK.EQ(Table13[[#This Row],[Punkte LSC]],Table13[Punkte LSC],0)," ")</f>
        <v xml:space="preserve"> </v>
      </c>
      <c r="K16" s="9">
        <f>IF(Table13[[#This Row],[Zeit LSC]]&gt;0,MIN(Table13[Zeit LSC])/Table13[[#This Row],[Zeit LSC]]*1000,0)</f>
        <v>0</v>
      </c>
      <c r="L16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6" s="9">
        <f>(Table13[[#This Row],[Punkte LSC]]+Table13[[#This Row],[Bonus LSC]])</f>
        <v>0</v>
      </c>
      <c r="N16" s="12" t="str">
        <f>IF(Table13[[#This Row],[Zeit LSC]]&gt;0,_xlfn.RANK.EQ(Table13[[#This Row],[Gesamt LSC]],Table13[Gesamt LSC],0)," ")</f>
        <v xml:space="preserve"> </v>
      </c>
      <c r="O16" s="8"/>
      <c r="P16" s="5" t="str">
        <f>IF(Table13[[#This Row],[Zeit LKC]]&gt;0,_xlfn.RANK.EQ(Table13[[#This Row],[Punkte LKC]],Table13[Punkte LKC],0)," ")</f>
        <v xml:space="preserve"> </v>
      </c>
      <c r="Q16" s="6">
        <f>IF(Table13[[#This Row],[Zeit LKC]]&gt;0,MIN(Table13[Zeit LKC])/Table13[[#This Row],[Zeit LKC]]*1000,0)</f>
        <v>0</v>
      </c>
      <c r="R16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6" s="6">
        <f>(Table13[[#This Row],[Punkte LKC]]+Table13[[#This Row],[Bonus LKC]])</f>
        <v>0</v>
      </c>
      <c r="T16" s="12" t="str">
        <f>IF(Table13[[#This Row],[Zeit LKC]]&gt;0,_xlfn.RANK.EQ(Table13[[#This Row],[Gesamt LKC]],Table13[Gesamt LKC],0)," ")</f>
        <v xml:space="preserve"> </v>
      </c>
      <c r="U16" s="15">
        <f>MAX( S16,M16)</f>
        <v>0</v>
      </c>
      <c r="V16" s="11"/>
      <c r="W16" s="5" t="str">
        <f>IF(Table13[[#This Row],[Zeit S&amp;R]]&gt;0,_xlfn.RANK.EQ(Table13[[#This Row],[Punkte S&amp;R]],Table13[Punkte S&amp;R],0)," ")</f>
        <v xml:space="preserve"> </v>
      </c>
      <c r="X16" s="9">
        <f>IF(Table13[[#This Row],[Zeit S&amp;R]]&gt;0,MIN(Table13[Zeit S&amp;R])/Table13[[#This Row],[Zeit S&amp;R]]*1000,0)</f>
        <v>0</v>
      </c>
      <c r="Y16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6" s="9">
        <f>(Table13[[#This Row],[Punkte S&amp;R]]+Table13[[#This Row],[Bonus S&amp;R]])</f>
        <v>0</v>
      </c>
      <c r="AA16" s="12" t="str">
        <f>IF(Table13[[#This Row],[Zeit S&amp;R]]&gt;0,_xlfn.RANK.EQ(Table13[[#This Row],[Gesamt S&amp;R]],Table13[Gesamt S&amp;R],0)," ")</f>
        <v xml:space="preserve"> </v>
      </c>
      <c r="AB16" s="8">
        <v>9.5682870370370376E-2</v>
      </c>
      <c r="AC16" s="12">
        <f>IF(Table13[[#This Row],[Zeit LC]]&gt;0,_xlfn.RANK.EQ(Table13[[#This Row],[Punkte LC]],Table13[Punkte LC],0)," ")</f>
        <v>11</v>
      </c>
      <c r="AD16" s="9">
        <f>IF(Table13[[#This Row],[Zeit LC]]&gt;0,MIN(Table13[Zeit LC])/Table13[[#This Row],[Zeit LC]]*1000,0)</f>
        <v>665.77960566106208</v>
      </c>
      <c r="AE16" s="9">
        <f>IF(Table13[[#This Row],[Zeit LC]]&gt;0,SUM(IF(Table13[[#This Row],[Alter]]&gt;40,(Table13[[#This Row],[Alter]]-40)*4,0),IF(AND(Table13[[#This Row],[Alter]]&lt;20,Table13[[#This Row],[Alter]]&gt;0),(20-Table13[[#This Row],[Alter]])*10,0)),0)</f>
        <v>112</v>
      </c>
      <c r="AF16" s="9">
        <f>(Table13[[#This Row],[Punkte LC]]+Table13[[#This Row],[Bonus LC]])</f>
        <v>777.77960566106208</v>
      </c>
      <c r="AG16" s="12">
        <f>IF(Table13[[#This Row],[Zeit LC]]&gt;0,_xlfn.RANK.EQ(Table13[[#This Row],[Gesamt LC]],Table13[Gesamt LC],0)," ")</f>
        <v>10</v>
      </c>
      <c r="AH16" s="15">
        <f>MAX( Z16,AF16)</f>
        <v>777.77960566106208</v>
      </c>
      <c r="AI16" s="8"/>
      <c r="AJ16" s="5" t="str">
        <f>IF(Table13[[#This Row],[Zeit BZF]]&gt;0,_xlfn.RANK.EQ(Table13[[#This Row],[Punkte BZF]],Table13[Punkte BZF],0)," ")</f>
        <v xml:space="preserve"> </v>
      </c>
      <c r="AK16" s="9">
        <f>IF(Table13[[#This Row],[Zeit BZF]]&gt;0,MIN(Table13[Zeit BZF])/Table13[[#This Row],[Zeit BZF]]*1000,0)</f>
        <v>0</v>
      </c>
      <c r="AL16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6" s="9">
        <f>(Table13[[#This Row],[Punkte BZF]]+Table13[[#This Row],[Bonus BZF]])</f>
        <v>0</v>
      </c>
      <c r="AN16" s="12" t="str">
        <f>IF(Table13[[#This Row],[Zeit BZF]]&gt;0,_xlfn.RANK.EQ(Table13[[#This Row],[Gesamt BZF]],Table13[Gesamt BZF],0)," ")</f>
        <v xml:space="preserve"> </v>
      </c>
      <c r="AO16" s="11">
        <v>2.8252314814814813E-2</v>
      </c>
      <c r="AP16" s="5">
        <f>IF(Table13[[#This Row],[Zeit EZF]]&gt;0,_xlfn.RANK.EQ(Table13[[#This Row],[Punkte EZF]],Table13[Punkte EZF],0)," ")</f>
        <v>25</v>
      </c>
      <c r="AQ16" s="9">
        <f>IF(Table13[[#This Row],[Zeit EZF]]&gt;0,MIN(Table13[Zeit EZF])/Table13[[#This Row],[Zeit EZF]]*1000,0)</f>
        <v>684.9651782056535</v>
      </c>
      <c r="AR16" s="7">
        <f>IF(Table13[[#This Row],[Zeit EZF]]&gt;0,SUM(IF(Table13[[#This Row],[Alter]]&gt;40,(Table13[[#This Row],[Alter]]-40)*4,0),IF(AND(Table13[[#This Row],[Alter]]&lt;20,Table13[[#This Row],[Alter]]&gt;0),(20-Table13[[#This Row],[Alter]])*10,0)),0)</f>
        <v>112</v>
      </c>
      <c r="AS16" s="9">
        <f>(Table13[[#This Row],[Punkte EZF]]+Table13[[#This Row],[Bonus EZF]])</f>
        <v>796.9651782056535</v>
      </c>
      <c r="AT16" s="12">
        <f>IF(Table13[[#This Row],[Zeit EZF]]&gt;0,_xlfn.RANK.EQ(Table13[[#This Row],[Gesamt EZF]],Table13[Gesamt EZF],0)," ")</f>
        <v>24</v>
      </c>
      <c r="AU16" s="17">
        <f t="shared" si="0"/>
        <v>796.9651782056535</v>
      </c>
    </row>
    <row r="17" spans="1:47" x14ac:dyDescent="0.25">
      <c r="A17" s="1" t="s">
        <v>64</v>
      </c>
      <c r="B17" s="1" t="s">
        <v>65</v>
      </c>
      <c r="C17" s="4">
        <v>1</v>
      </c>
      <c r="D17" s="4">
        <v>1965</v>
      </c>
      <c r="E17" s="4">
        <f>IF(Table13[[#This Row],[JG]],2026-Table13[[#This Row],[JG]],0)</f>
        <v>61</v>
      </c>
      <c r="F17" s="4"/>
      <c r="G17" s="26">
        <f>SUM(U17, AH17, AU17)</f>
        <v>1465.7742867528543</v>
      </c>
      <c r="H17" s="24">
        <f>_xlfn.RANK.EQ(Table13[[#This Row],[Gesamtpunkte]],Table13[Gesamtpunkte],0)</f>
        <v>15</v>
      </c>
      <c r="I17" s="8">
        <v>2.900462962962963E-2</v>
      </c>
      <c r="J17" s="4">
        <f>IF(Table13[[#This Row],[Zeit LSC]]&gt;0,_xlfn.RANK.EQ(Table13[[#This Row],[Punkte LSC]],Table13[Punkte LSC],0)," ")</f>
        <v>5</v>
      </c>
      <c r="K17" s="6">
        <f>IF(Table13[[#This Row],[Zeit LSC]]&gt;0,MIN(Table13[Zeit LSC])/Table13[[#This Row],[Zeit LSC]]*1000,0)</f>
        <v>731.44453312051075</v>
      </c>
      <c r="L17" s="7">
        <f>IF(Table13[[#This Row],[Zeit LSC]]&gt;0,SUM(IF(Table13[[#This Row],[Alter]]&gt;40,(Table13[[#This Row],[Alter]]-40)*4,0),IF(AND(Table13[[#This Row],[Alter]]&lt;20,Table13[[#This Row],[Alter]]&gt;0),(20-Table13[[#This Row],[Alter]])*10,0)),0)</f>
        <v>84</v>
      </c>
      <c r="M17" s="6">
        <f>(Table13[[#This Row],[Punkte LSC]]+Table13[[#This Row],[Bonus LSC]])</f>
        <v>815.44453312051075</v>
      </c>
      <c r="N17" s="12">
        <f>IF(Table13[[#This Row],[Zeit LSC]]&gt;0,_xlfn.RANK.EQ(Table13[[#This Row],[Gesamt LSC]],Table13[Gesamt LSC],0)," ")</f>
        <v>5</v>
      </c>
      <c r="O17" s="8"/>
      <c r="P17" s="4" t="str">
        <f>IF(Table13[[#This Row],[Zeit LKC]]&gt;0,_xlfn.RANK.EQ(Table13[[#This Row],[Punkte LKC]],Table13[Punkte LKC],0)," ")</f>
        <v xml:space="preserve"> </v>
      </c>
      <c r="Q17" s="6">
        <f>IF(Table13[[#This Row],[Zeit LKC]]&gt;0,MIN(Table13[Zeit LKC])/Table13[[#This Row],[Zeit LKC]]*1000,0)</f>
        <v>0</v>
      </c>
      <c r="R17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7" s="6">
        <f>(Table13[[#This Row],[Punkte LKC]]+Table13[[#This Row],[Bonus LKC]])</f>
        <v>0</v>
      </c>
      <c r="T17" s="12" t="str">
        <f>IF(Table13[[#This Row],[Zeit LKC]]&gt;0,_xlfn.RANK.EQ(Table13[[#This Row],[Gesamt LKC]],Table13[Gesamt LKC],0)," ")</f>
        <v xml:space="preserve"> </v>
      </c>
      <c r="U17" s="15">
        <f>MAX( S17,M17)</f>
        <v>815.44453312051075</v>
      </c>
      <c r="V17" s="8"/>
      <c r="W17" s="5" t="str">
        <f>IF(Table13[[#This Row],[Zeit S&amp;R]]&gt;0,_xlfn.RANK.EQ(Table13[[#This Row],[Punkte S&amp;R]],Table13[Punkte S&amp;R],0)," ")</f>
        <v xml:space="preserve"> </v>
      </c>
      <c r="X17" s="6">
        <f>IF(Table13[[#This Row],[Zeit S&amp;R]]&gt;0,MIN(Table13[Zeit S&amp;R])/Table13[[#This Row],[Zeit S&amp;R]]*1000,0)</f>
        <v>0</v>
      </c>
      <c r="Y17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7" s="6">
        <f>(Table13[[#This Row],[Punkte S&amp;R]]+Table13[[#This Row],[Bonus S&amp;R]])</f>
        <v>0</v>
      </c>
      <c r="AA17" s="12" t="str">
        <f>IF(Table13[[#This Row],[Zeit S&amp;R]]&gt;0,_xlfn.RANK.EQ(Table13[[#This Row],[Gesamt S&amp;R]],Table13[Gesamt S&amp;R],0)," ")</f>
        <v xml:space="preserve"> </v>
      </c>
      <c r="AB17" s="6"/>
      <c r="AC17" s="12" t="str">
        <f>IF(Table13[[#This Row],[Zeit LC]]&gt;0,_xlfn.RANK.EQ(Table13[[#This Row],[Punkte LC]],Table13[Punkte LC],0)," ")</f>
        <v xml:space="preserve"> </v>
      </c>
      <c r="AD17" s="6">
        <f>IF(Table13[[#This Row],[Zeit LC]]&gt;0,MIN(Table13[Zeit LC])/Table13[[#This Row],[Zeit LC]]*1000,0)</f>
        <v>0</v>
      </c>
      <c r="AE17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7" s="6">
        <f>(Table13[[#This Row],[Punkte LC]]+Table13[[#This Row],[Bonus LC]])</f>
        <v>0</v>
      </c>
      <c r="AG17" s="12" t="str">
        <f>IF(Table13[[#This Row],[Zeit LC]]&gt;0,_xlfn.RANK.EQ(Table13[[#This Row],[Gesamt LC]],Table13[Gesamt LC],0)," ")</f>
        <v xml:space="preserve"> </v>
      </c>
      <c r="AH17" s="15">
        <f>MAX( Z17,AF17)</f>
        <v>0</v>
      </c>
      <c r="AI17" s="8">
        <v>3.664351851851852E-2</v>
      </c>
      <c r="AJ17" s="5">
        <f>IF(Table13[[#This Row],[Zeit BZF]]&gt;0,_xlfn.RANK.EQ(Table13[[#This Row],[Punkte BZF]],Table13[Punkte BZF],0)," ")</f>
        <v>16</v>
      </c>
      <c r="AK17" s="9">
        <f>IF(Table13[[#This Row],[Zeit BZF]]&gt;0,MIN(Table13[Zeit BZF])/Table13[[#This Row],[Zeit BZF]]*1000,0)</f>
        <v>566.32975363234357</v>
      </c>
      <c r="AL17" s="7">
        <f>IF(Table13[[#This Row],[Zeit BZF]]&gt;0,SUM(IF(Table13[[#This Row],[Alter]]&gt;40,(Table13[[#This Row],[Alter]]-40)*4,0),IF(AND(Table13[[#This Row],[Alter]]&lt;20,Table13[[#This Row],[Alter]]&gt;0),(20-Table13[[#This Row],[Alter]])*10,0)),0)</f>
        <v>84</v>
      </c>
      <c r="AM17" s="6">
        <f>(Table13[[#This Row],[Punkte BZF]]+Table13[[#This Row],[Bonus BZF]])</f>
        <v>650.32975363234357</v>
      </c>
      <c r="AN17" s="12">
        <f>IF(Table13[[#This Row],[Zeit BZF]]&gt;0,_xlfn.RANK.EQ(Table13[[#This Row],[Gesamt BZF]],Table13[Gesamt BZF],0)," ")</f>
        <v>16</v>
      </c>
      <c r="AO17" s="8"/>
      <c r="AP17" s="5" t="str">
        <f>IF(Table13[[#This Row],[Zeit EZF]]&gt;0,_xlfn.RANK.EQ(Table13[[#This Row],[Punkte EZF]],Table13[Punkte EZF],0)," ")</f>
        <v xml:space="preserve"> </v>
      </c>
      <c r="AQ17" s="9">
        <f>IF(Table13[[#This Row],[Zeit EZF]]&gt;0,MIN(Table13[Zeit EZF])/Table13[[#This Row],[Zeit EZF]]*1000,0)</f>
        <v>0</v>
      </c>
      <c r="AR17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7" s="6">
        <f>(Table13[[#This Row],[Punkte EZF]]+Table13[[#This Row],[Bonus EZF]])</f>
        <v>0</v>
      </c>
      <c r="AT17" s="12" t="str">
        <f>IF(Table13[[#This Row],[Zeit EZF]]&gt;0,_xlfn.RANK.EQ(Table13[[#This Row],[Gesamt EZF]],Table13[Gesamt EZF],0)," ")</f>
        <v xml:space="preserve"> </v>
      </c>
      <c r="AU17" s="17">
        <f t="shared" si="0"/>
        <v>650.32975363234357</v>
      </c>
    </row>
    <row r="18" spans="1:47" x14ac:dyDescent="0.25">
      <c r="A18" s="1" t="s">
        <v>121</v>
      </c>
      <c r="B18" s="1" t="s">
        <v>93</v>
      </c>
      <c r="C18" s="5"/>
      <c r="D18" s="5">
        <v>1995</v>
      </c>
      <c r="E18" s="5">
        <f>IF(Table13[[#This Row],[JG]],2026-Table13[[#This Row],[JG]],0)</f>
        <v>31</v>
      </c>
      <c r="F18" s="4" t="s">
        <v>34</v>
      </c>
      <c r="G18" s="26">
        <f>SUM(U18, AH18, AU18)</f>
        <v>1393.9655452486786</v>
      </c>
      <c r="H18" s="24">
        <f>_xlfn.RANK.EQ(Table13[[#This Row],[Gesamtpunkte]],Table13[Gesamtpunkte],0)</f>
        <v>16</v>
      </c>
      <c r="I18" s="11"/>
      <c r="J18" s="4" t="str">
        <f>IF(Table13[[#This Row],[Zeit LSC]]&gt;0,_xlfn.RANK.EQ(Table13[[#This Row],[Punkte LSC]],Table13[Punkte LSC],0)," ")</f>
        <v xml:space="preserve"> </v>
      </c>
      <c r="K18" s="9">
        <f>IF(Table13[[#This Row],[Zeit LSC]]&gt;0,MIN(Table13[Zeit LSC])/Table13[[#This Row],[Zeit LSC]]*1000,0)</f>
        <v>0</v>
      </c>
      <c r="L18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18" s="9">
        <f>(Table13[[#This Row],[Punkte LSC]]+Table13[[#This Row],[Bonus LSC]])</f>
        <v>0</v>
      </c>
      <c r="N18" s="12" t="str">
        <f>IF(Table13[[#This Row],[Zeit LSC]]&gt;0,_xlfn.RANK.EQ(Table13[[#This Row],[Gesamt LSC]],Table13[Gesamt LSC],0)," ")</f>
        <v xml:space="preserve"> </v>
      </c>
      <c r="O18" s="8">
        <v>2.255787037037037E-2</v>
      </c>
      <c r="P18" s="5">
        <f>IF(Table13[[#This Row],[Zeit LKC]]&gt;0,_xlfn.RANK.EQ(Table13[[#This Row],[Punkte LKC]],Table13[Punkte LKC],0)," ")</f>
        <v>9</v>
      </c>
      <c r="Q18" s="6">
        <f>IF(Table13[[#This Row],[Zeit LKC]]&gt;0,MIN(Table13[Zeit LKC])/Table13[[#This Row],[Zeit LKC]]*1000,0)</f>
        <v>616.72652642380706</v>
      </c>
      <c r="R18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18" s="6">
        <f>(Table13[[#This Row],[Punkte LKC]]+Table13[[#This Row],[Bonus LKC]])</f>
        <v>616.72652642380706</v>
      </c>
      <c r="T18" s="12">
        <f>IF(Table13[[#This Row],[Zeit LKC]]&gt;0,_xlfn.RANK.EQ(Table13[[#This Row],[Gesamt LKC]],Table13[Gesamt LKC],0)," ")</f>
        <v>10</v>
      </c>
      <c r="U18" s="15">
        <f>MAX( S18,M18)</f>
        <v>616.72652642380706</v>
      </c>
      <c r="V18" s="11">
        <v>4.0578703703703707E-2</v>
      </c>
      <c r="W18" s="5">
        <f>IF(Table13[[#This Row],[Zeit S&amp;R]]&gt;0,_xlfn.RANK.EQ(Table13[[#This Row],[Punkte S&amp;R]],Table13[Punkte S&amp;R],0)," ")</f>
        <v>17</v>
      </c>
      <c r="X18" s="9">
        <f>IF(Table13[[#This Row],[Zeit S&amp;R]]&gt;0,MIN(Table13[Zeit S&amp;R])/Table13[[#This Row],[Zeit S&amp;R]]*1000,0)</f>
        <v>777.23901882487155</v>
      </c>
      <c r="Y18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8" s="9">
        <f>(Table13[[#This Row],[Punkte S&amp;R]]+Table13[[#This Row],[Bonus S&amp;R]])</f>
        <v>777.23901882487155</v>
      </c>
      <c r="AA18" s="12">
        <f>IF(Table13[[#This Row],[Zeit S&amp;R]]&gt;0,_xlfn.RANK.EQ(Table13[[#This Row],[Gesamt S&amp;R]],Table13[Gesamt S&amp;R],0)," ")</f>
        <v>17</v>
      </c>
      <c r="AB18" s="11"/>
      <c r="AC18" s="12" t="str">
        <f>IF(Table13[[#This Row],[Zeit LC]]&gt;0,_xlfn.RANK.EQ(Table13[[#This Row],[Punkte LC]],Table13[Punkte LC],0)," ")</f>
        <v xml:space="preserve"> </v>
      </c>
      <c r="AD18" s="9">
        <f>IF(Table13[[#This Row],[Zeit LC]]&gt;0,MIN(Table13[Zeit LC])/Table13[[#This Row],[Zeit LC]]*1000,0)</f>
        <v>0</v>
      </c>
      <c r="AE18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8" s="9">
        <f>(Table13[[#This Row],[Punkte LC]]+Table13[[#This Row],[Bonus LC]])</f>
        <v>0</v>
      </c>
      <c r="AG18" s="12" t="str">
        <f>IF(Table13[[#This Row],[Zeit LC]]&gt;0,_xlfn.RANK.EQ(Table13[[#This Row],[Gesamt LC]],Table13[Gesamt LC],0)," ")</f>
        <v xml:space="preserve"> </v>
      </c>
      <c r="AH18" s="15">
        <f>MAX( Z18,AF18)</f>
        <v>777.23901882487155</v>
      </c>
      <c r="AI18" s="11"/>
      <c r="AJ18" s="5" t="str">
        <f>IF(Table13[[#This Row],[Zeit BZF]]&gt;0,_xlfn.RANK.EQ(Table13[[#This Row],[Punkte BZF]],Table13[Punkte BZF],0)," ")</f>
        <v xml:space="preserve"> </v>
      </c>
      <c r="AK18" s="9">
        <f>IF(Table13[[#This Row],[Zeit BZF]]&gt;0,MIN(Table13[Zeit BZF])/Table13[[#This Row],[Zeit BZF]]*1000,0)</f>
        <v>0</v>
      </c>
      <c r="AL18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8" s="9">
        <f>(Table13[[#This Row],[Punkte BZF]]+Table13[[#This Row],[Bonus BZF]])</f>
        <v>0</v>
      </c>
      <c r="AN18" s="12" t="str">
        <f>IF(Table13[[#This Row],[Zeit BZF]]&gt;0,_xlfn.RANK.EQ(Table13[[#This Row],[Gesamt BZF]],Table13[Gesamt BZF],0)," ")</f>
        <v xml:space="preserve"> </v>
      </c>
      <c r="AO18" s="11"/>
      <c r="AP18" s="5" t="str">
        <f>IF(Table13[[#This Row],[Zeit EZF]]&gt;0,_xlfn.RANK.EQ(Table13[[#This Row],[Punkte EZF]],Table13[Punkte EZF],0)," ")</f>
        <v xml:space="preserve"> </v>
      </c>
      <c r="AQ18" s="9">
        <f>IF(Table13[[#This Row],[Zeit EZF]]&gt;0,MIN(Table13[Zeit EZF])/Table13[[#This Row],[Zeit EZF]]*1000,0)</f>
        <v>0</v>
      </c>
      <c r="AR18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8" s="9">
        <f>(Table13[[#This Row],[Punkte EZF]]+Table13[[#This Row],[Bonus EZF]])</f>
        <v>0</v>
      </c>
      <c r="AT18" s="12" t="str">
        <f>IF(Table13[[#This Row],[Zeit EZF]]&gt;0,_xlfn.RANK.EQ(Table13[[#This Row],[Gesamt EZF]],Table13[Gesamt EZF],0)," ")</f>
        <v xml:space="preserve"> </v>
      </c>
      <c r="AU18" s="17">
        <f t="shared" ref="AU18" si="3">MAX( AM18,AS18)</f>
        <v>0</v>
      </c>
    </row>
    <row r="19" spans="1:47" x14ac:dyDescent="0.25">
      <c r="A19" s="1" t="s">
        <v>91</v>
      </c>
      <c r="B19" s="1" t="s">
        <v>92</v>
      </c>
      <c r="C19" s="4">
        <v>1</v>
      </c>
      <c r="D19" s="4">
        <v>1982</v>
      </c>
      <c r="E19" s="4">
        <f>IF(Table13[[#This Row],[JG]],2026-Table13[[#This Row],[JG]],0)</f>
        <v>44</v>
      </c>
      <c r="F19" s="4"/>
      <c r="G19" s="26">
        <f>SUM(U19, AH19, AU19)</f>
        <v>1016</v>
      </c>
      <c r="H19" s="24">
        <f>_xlfn.RANK.EQ(Table13[[#This Row],[Gesamtpunkte]],Table13[Gesamtpunkte],0)</f>
        <v>17</v>
      </c>
      <c r="I19" s="8">
        <v>2.1215277777777777E-2</v>
      </c>
      <c r="J19" s="4">
        <f>IF(Table13[[#This Row],[Zeit LSC]]&gt;0,_xlfn.RANK.EQ(Table13[[#This Row],[Punkte LSC]],Table13[Punkte LSC],0)," ")</f>
        <v>1</v>
      </c>
      <c r="K19" s="6">
        <f>IF(Table13[[#This Row],[Zeit LSC]]&gt;0,MIN(Table13[Zeit LSC])/Table13[[#This Row],[Zeit LSC]]*1000,0)</f>
        <v>1000</v>
      </c>
      <c r="L19" s="7">
        <f>IF(Table13[[#This Row],[Zeit LSC]]&gt;0,SUM(IF(Table13[[#This Row],[Alter]]&gt;40,(Table13[[#This Row],[Alter]]-40)*4,0),IF(AND(Table13[[#This Row],[Alter]]&lt;20,Table13[[#This Row],[Alter]]&gt;0),(20-Table13[[#This Row],[Alter]])*10,0)),0)</f>
        <v>16</v>
      </c>
      <c r="M19" s="6">
        <f>(Table13[[#This Row],[Punkte LSC]]+Table13[[#This Row],[Bonus LSC]])</f>
        <v>1016</v>
      </c>
      <c r="N19" s="12">
        <f>IF(Table13[[#This Row],[Zeit LSC]]&gt;0,_xlfn.RANK.EQ(Table13[[#This Row],[Gesamt LSC]],Table13[Gesamt LSC],0)," ")</f>
        <v>2</v>
      </c>
      <c r="O19" s="8">
        <v>1.3912037037037037E-2</v>
      </c>
      <c r="P19" s="4">
        <f>IF(Table13[[#This Row],[Zeit LKC]]&gt;0,_xlfn.RANK.EQ(Table13[[#This Row],[Punkte LKC]],Table13[Punkte LKC],0)," ")</f>
        <v>1</v>
      </c>
      <c r="Q19" s="6">
        <f>IF(Table13[[#This Row],[Zeit LKC]]&gt;0,MIN(Table13[Zeit LKC])/Table13[[#This Row],[Zeit LKC]]*1000,0)</f>
        <v>1000</v>
      </c>
      <c r="R19" s="7">
        <f>IF(Table13[[#This Row],[Zeit LKC]]&gt;0,SUM(IF(Table13[[#This Row],[Alter]]&gt;40,(Table13[[#This Row],[Alter]]-40)*4,0),IF(AND(Table13[[#This Row],[Alter]]&lt;20,Table13[[#This Row],[Alter]]&gt;0),(20-Table13[[#This Row],[Alter]])*10,0)),0)</f>
        <v>16</v>
      </c>
      <c r="S19" s="6">
        <f>(Table13[[#This Row],[Punkte LKC]]+Table13[[#This Row],[Bonus LKC]])</f>
        <v>1016</v>
      </c>
      <c r="T19" s="12">
        <f>IF(Table13[[#This Row],[Zeit LKC]]&gt;0,_xlfn.RANK.EQ(Table13[[#This Row],[Gesamt LKC]],Table13[Gesamt LKC],0)," ")</f>
        <v>1</v>
      </c>
      <c r="U19" s="15">
        <f>MAX( S19,M19)</f>
        <v>1016</v>
      </c>
      <c r="V19" s="8"/>
      <c r="W19" s="5" t="str">
        <f>IF(Table13[[#This Row],[Zeit S&amp;R]]&gt;0,_xlfn.RANK.EQ(Table13[[#This Row],[Punkte S&amp;R]],Table13[Punkte S&amp;R],0)," ")</f>
        <v xml:space="preserve"> </v>
      </c>
      <c r="X19" s="6">
        <f>IF(Table13[[#This Row],[Zeit S&amp;R]]&gt;0,MIN(Table13[Zeit S&amp;R])/Table13[[#This Row],[Zeit S&amp;R]]*1000,0)</f>
        <v>0</v>
      </c>
      <c r="Y19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19" s="6">
        <f>(Table13[[#This Row],[Punkte S&amp;R]]+Table13[[#This Row],[Bonus S&amp;R]])</f>
        <v>0</v>
      </c>
      <c r="AA19" s="12" t="str">
        <f>IF(Table13[[#This Row],[Zeit S&amp;R]]&gt;0,_xlfn.RANK.EQ(Table13[[#This Row],[Gesamt S&amp;R]],Table13[Gesamt S&amp;R],0)," ")</f>
        <v xml:space="preserve"> </v>
      </c>
      <c r="AB19" s="8"/>
      <c r="AC19" s="12" t="str">
        <f>IF(Table13[[#This Row],[Zeit LC]]&gt;0,_xlfn.RANK.EQ(Table13[[#This Row],[Punkte LC]],Table13[Punkte LC],0)," ")</f>
        <v xml:space="preserve"> </v>
      </c>
      <c r="AD19" s="6">
        <f>IF(Table13[[#This Row],[Zeit LC]]&gt;0,MIN(Table13[Zeit LC])/Table13[[#This Row],[Zeit LC]]*1000,0)</f>
        <v>0</v>
      </c>
      <c r="AE19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19" s="6">
        <f>(Table13[[#This Row],[Punkte LC]]+Table13[[#This Row],[Bonus LC]])</f>
        <v>0</v>
      </c>
      <c r="AG19" s="12" t="str">
        <f>IF(Table13[[#This Row],[Zeit LC]]&gt;0,_xlfn.RANK.EQ(Table13[[#This Row],[Gesamt LC]],Table13[Gesamt LC],0)," ")</f>
        <v xml:space="preserve"> </v>
      </c>
      <c r="AH19" s="15">
        <f>MAX( Z19,AF19)</f>
        <v>0</v>
      </c>
      <c r="AI19" s="8"/>
      <c r="AJ19" s="5" t="str">
        <f>IF(Table13[[#This Row],[Zeit BZF]]&gt;0,_xlfn.RANK.EQ(Table13[[#This Row],[Punkte BZF]],Table13[Punkte BZF],0)," ")</f>
        <v xml:space="preserve"> </v>
      </c>
      <c r="AK19" s="9">
        <f>IF(Table13[[#This Row],[Zeit BZF]]&gt;0,MIN(Table13[Zeit BZF])/Table13[[#This Row],[Zeit BZF]]*1000,0)</f>
        <v>0</v>
      </c>
      <c r="AL19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19" s="6">
        <f>(Table13[[#This Row],[Punkte BZF]]+Table13[[#This Row],[Bonus BZF]])</f>
        <v>0</v>
      </c>
      <c r="AN19" s="12" t="str">
        <f>IF(Table13[[#This Row],[Zeit BZF]]&gt;0,_xlfn.RANK.EQ(Table13[[#This Row],[Gesamt BZF]],Table13[Gesamt BZF],0)," ")</f>
        <v xml:space="preserve"> </v>
      </c>
      <c r="AO19" s="8"/>
      <c r="AP19" s="5" t="str">
        <f>IF(Table13[[#This Row],[Zeit EZF]]&gt;0,_xlfn.RANK.EQ(Table13[[#This Row],[Punkte EZF]],Table13[Punkte EZF],0)," ")</f>
        <v xml:space="preserve"> </v>
      </c>
      <c r="AQ19" s="9">
        <f>IF(Table13[[#This Row],[Zeit EZF]]&gt;0,MIN(Table13[Zeit EZF])/Table13[[#This Row],[Zeit EZF]]*1000,0)</f>
        <v>0</v>
      </c>
      <c r="AR19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19" s="6">
        <f>(Table13[[#This Row],[Punkte EZF]]+Table13[[#This Row],[Bonus EZF]])</f>
        <v>0</v>
      </c>
      <c r="AT19" s="12" t="str">
        <f>IF(Table13[[#This Row],[Zeit EZF]]&gt;0,_xlfn.RANK.EQ(Table13[[#This Row],[Gesamt EZF]],Table13[Gesamt EZF],0)," ")</f>
        <v xml:space="preserve"> </v>
      </c>
      <c r="AU19" s="17">
        <f t="shared" ref="AU19" si="4">MAX( AM19,AS19)</f>
        <v>0</v>
      </c>
    </row>
    <row r="20" spans="1:47" x14ac:dyDescent="0.25">
      <c r="A20" s="1" t="s">
        <v>132</v>
      </c>
      <c r="B20" s="1" t="s">
        <v>115</v>
      </c>
      <c r="C20" s="5"/>
      <c r="D20" s="5">
        <v>2005</v>
      </c>
      <c r="E20" s="5">
        <f>IF(Table13[[#This Row],[JG]],2026-Table13[[#This Row],[JG]],0)</f>
        <v>21</v>
      </c>
      <c r="F20" s="5"/>
      <c r="G20" s="26">
        <f>SUM(U20, AH20, AU20)</f>
        <v>1000</v>
      </c>
      <c r="H20" s="24">
        <f>_xlfn.RANK.EQ(Table13[[#This Row],[Gesamtpunkte]],Table13[Gesamtpunkte],0)</f>
        <v>18</v>
      </c>
      <c r="I20" s="19"/>
      <c r="J20" s="20" t="str">
        <f>IF(Table13[[#This Row],[Zeit LSC]]&gt;0,_xlfn.RANK.EQ(Table13[[#This Row],[Punkte LSC]],Table13[Punkte LSC],0)," ")</f>
        <v xml:space="preserve"> </v>
      </c>
      <c r="K20" s="21">
        <f>IF(Table13[[#This Row],[Zeit LSC]]&gt;0,MIN(Table13[Zeit LSC])/Table13[[#This Row],[Zeit LSC]]*1000,0)</f>
        <v>0</v>
      </c>
      <c r="L20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0" s="21">
        <f>(Table13[[#This Row],[Punkte LSC]]+Table13[[#This Row],[Bonus LSC]])</f>
        <v>0</v>
      </c>
      <c r="N20" s="23" t="str">
        <f>IF(Table13[[#This Row],[Zeit LSC]]&gt;0,_xlfn.RANK.EQ(Table13[[#This Row],[Gesamt LSC]],Table13[Gesamt LSC],0)," ")</f>
        <v xml:space="preserve"> </v>
      </c>
      <c r="O20" s="5"/>
      <c r="P20" s="5" t="str">
        <f>IF(Table13[[#This Row],[Zeit LKC]]&gt;0,_xlfn.RANK.EQ(Table13[[#This Row],[Punkte LKC]],Table13[Punkte LKC],0)," ")</f>
        <v xml:space="preserve"> </v>
      </c>
      <c r="Q20" s="6">
        <f>IF(Table13[[#This Row],[Zeit LKC]]&gt;0,MIN(Table13[Zeit LKC])/Table13[[#This Row],[Zeit LKC]]*1000,0)</f>
        <v>0</v>
      </c>
      <c r="R20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0" s="9">
        <f>(Table13[[#This Row],[Punkte LKC]]+Table13[[#This Row],[Bonus LKC]])</f>
        <v>0</v>
      </c>
      <c r="T20" s="13" t="str">
        <f>IF(Table13[[#This Row],[Zeit LKC]]&gt;0,_xlfn.RANK.EQ(Table13[[#This Row],[Gesamt LKC]],Table13[Gesamt LKC],0)," ")</f>
        <v xml:space="preserve"> </v>
      </c>
      <c r="U20" s="15">
        <f>MAX( S20,M20)</f>
        <v>0</v>
      </c>
      <c r="V20" s="11">
        <v>3.1539351851851853E-2</v>
      </c>
      <c r="W20" s="5">
        <f>IF(Table13[[#This Row],[Zeit S&amp;R]]&gt;0,_xlfn.RANK.EQ(Table13[[#This Row],[Punkte S&amp;R]],Table13[Punkte S&amp;R],0)," ")</f>
        <v>1</v>
      </c>
      <c r="X20" s="9">
        <f>IF(Table13[[#This Row],[Zeit S&amp;R]]&gt;0,MIN(Table13[Zeit S&amp;R])/Table13[[#This Row],[Zeit S&amp;R]]*1000,0)</f>
        <v>1000</v>
      </c>
      <c r="Y20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0" s="9">
        <f>(Table13[[#This Row],[Punkte S&amp;R]]+Table13[[#This Row],[Bonus S&amp;R]])</f>
        <v>1000</v>
      </c>
      <c r="AA20" s="13">
        <f>IF(Table13[[#This Row],[Zeit S&amp;R]]&gt;0,_xlfn.RANK.EQ(Table13[[#This Row],[Gesamt S&amp;R]],Table13[Gesamt S&amp;R],0)," ")</f>
        <v>1</v>
      </c>
      <c r="AB20" s="11"/>
      <c r="AC20" s="13" t="str">
        <f>IF(Table13[[#This Row],[Zeit LC]]&gt;0,_xlfn.RANK.EQ(Table13[[#This Row],[Punkte LC]],Table13[Punkte LC],0)," ")</f>
        <v xml:space="preserve"> </v>
      </c>
      <c r="AD20" s="9">
        <f>IF(Table13[[#This Row],[Zeit LC]]&gt;0,MIN(Table13[Zeit LC])/Table13[[#This Row],[Zeit LC]]*1000,0)</f>
        <v>0</v>
      </c>
      <c r="AE20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0" s="9">
        <f>(Table13[[#This Row],[Punkte LC]]+Table13[[#This Row],[Bonus LC]])</f>
        <v>0</v>
      </c>
      <c r="AG20" s="13" t="str">
        <f>IF(Table13[[#This Row],[Zeit LC]]&gt;0,_xlfn.RANK.EQ(Table13[[#This Row],[Gesamt LC]],Table13[Gesamt LC],0)," ")</f>
        <v xml:space="preserve"> </v>
      </c>
      <c r="AH20" s="15">
        <f>MAX( Z20,AF20)</f>
        <v>1000</v>
      </c>
      <c r="AI20" s="11"/>
      <c r="AJ20" s="5" t="str">
        <f>IF(Table13[[#This Row],[Zeit BZF]]&gt;0,_xlfn.RANK.EQ(Table13[[#This Row],[Punkte BZF]],Table13[Punkte BZF],0)," ")</f>
        <v xml:space="preserve"> </v>
      </c>
      <c r="AK20" s="9">
        <f>IF(Table13[[#This Row],[Zeit BZF]]&gt;0,MIN(Table13[Zeit BZF])/Table13[[#This Row],[Zeit BZF]]*1000,0)</f>
        <v>0</v>
      </c>
      <c r="AL20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0" s="9">
        <f>(Table13[[#This Row],[Punkte BZF]]+Table13[[#This Row],[Bonus BZF]])</f>
        <v>0</v>
      </c>
      <c r="AN20" s="13" t="str">
        <f>IF(Table13[[#This Row],[Zeit BZF]]&gt;0,_xlfn.RANK.EQ(Table13[[#This Row],[Gesamt BZF]],Table13[Gesamt BZF],0)," ")</f>
        <v xml:space="preserve"> </v>
      </c>
      <c r="AO20" s="11"/>
      <c r="AP20" s="5" t="str">
        <f>IF(Table13[[#This Row],[Zeit EZF]]&gt;0,_xlfn.RANK.EQ(Table13[[#This Row],[Punkte EZF]],Table13[Punkte EZF],0)," ")</f>
        <v xml:space="preserve"> </v>
      </c>
      <c r="AQ20" s="9">
        <f>IF(Table13[[#This Row],[Zeit EZF]]&gt;0,MIN(Table13[Zeit EZF])/Table13[[#This Row],[Zeit EZF]]*1000,0)</f>
        <v>0</v>
      </c>
      <c r="AR20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0" s="9">
        <f>(Table13[[#This Row],[Punkte EZF]]+Table13[[#This Row],[Bonus EZF]])</f>
        <v>0</v>
      </c>
      <c r="AT20" s="13" t="str">
        <f>IF(Table13[[#This Row],[Zeit EZF]]&gt;0,_xlfn.RANK.EQ(Table13[[#This Row],[Gesamt EZF]],Table13[Gesamt EZF],0)," ")</f>
        <v xml:space="preserve"> </v>
      </c>
      <c r="AU20" s="17">
        <f t="shared" ref="AU20" si="5">MAX( AM20,AS20)</f>
        <v>0</v>
      </c>
    </row>
    <row r="21" spans="1:47" x14ac:dyDescent="0.25">
      <c r="A21" s="1" t="s">
        <v>99</v>
      </c>
      <c r="B21" s="1" t="s">
        <v>100</v>
      </c>
      <c r="C21" s="5"/>
      <c r="D21" s="5">
        <v>1998</v>
      </c>
      <c r="E21" s="5">
        <f>IF(Table13[[#This Row],[JG]],2026-Table13[[#This Row],[JG]],0)</f>
        <v>28</v>
      </c>
      <c r="F21" s="5"/>
      <c r="G21" s="26">
        <f>SUM(U21, AH21, AU21)</f>
        <v>1000</v>
      </c>
      <c r="H21" s="24">
        <f>_xlfn.RANK.EQ(Table13[[#This Row],[Gesamtpunkte]],Table13[Gesamtpunkte],0)</f>
        <v>18</v>
      </c>
      <c r="I21" s="19"/>
      <c r="J21" s="20" t="str">
        <f>IF(Table13[[#This Row],[Zeit LSC]]&gt;0,_xlfn.RANK.EQ(Table13[[#This Row],[Punkte LSC]],Table13[Punkte LSC],0)," ")</f>
        <v xml:space="preserve"> </v>
      </c>
      <c r="K21" s="21">
        <f>IF(Table13[[#This Row],[Zeit LSC]]&gt;0,MIN(Table13[Zeit LSC])/Table13[[#This Row],[Zeit LSC]]*1000,0)</f>
        <v>0</v>
      </c>
      <c r="L21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1" s="21">
        <f>(Table13[[#This Row],[Punkte LSC]]+Table13[[#This Row],[Bonus LSC]])</f>
        <v>0</v>
      </c>
      <c r="N21" s="23" t="str">
        <f>IF(Table13[[#This Row],[Zeit LSC]]&gt;0,_xlfn.RANK.EQ(Table13[[#This Row],[Gesamt LSC]],Table13[Gesamt LSC],0)," ")</f>
        <v xml:space="preserve"> </v>
      </c>
      <c r="O21" s="5"/>
      <c r="P21" s="5" t="str">
        <f>IF(Table13[[#This Row],[Zeit LKC]]&gt;0,_xlfn.RANK.EQ(Table13[[#This Row],[Punkte LKC]],Table13[Punkte LKC],0)," ")</f>
        <v xml:space="preserve"> </v>
      </c>
      <c r="Q21" s="6">
        <f>IF(Table13[[#This Row],[Zeit LKC]]&gt;0,MIN(Table13[Zeit LKC])/Table13[[#This Row],[Zeit LKC]]*1000,0)</f>
        <v>0</v>
      </c>
      <c r="R21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1" s="9">
        <f>(Table13[[#This Row],[Punkte LKC]]+Table13[[#This Row],[Bonus LKC]])</f>
        <v>0</v>
      </c>
      <c r="T21" s="13" t="str">
        <f>IF(Table13[[#This Row],[Zeit LKC]]&gt;0,_xlfn.RANK.EQ(Table13[[#This Row],[Gesamt LKC]],Table13[Gesamt LKC],0)," ")</f>
        <v xml:space="preserve"> </v>
      </c>
      <c r="U21" s="15">
        <f>MAX( S21,M21)</f>
        <v>0</v>
      </c>
      <c r="V21" s="11">
        <v>3.5127314814814813E-2</v>
      </c>
      <c r="W21" s="5">
        <f>IF(Table13[[#This Row],[Zeit S&amp;R]]&gt;0,_xlfn.RANK.EQ(Table13[[#This Row],[Punkte S&amp;R]],Table13[Punkte S&amp;R],0)," ")</f>
        <v>11</v>
      </c>
      <c r="X21" s="9">
        <f>IF(Table13[[#This Row],[Zeit S&amp;R]]&gt;0,MIN(Table13[Zeit S&amp;R])/Table13[[#This Row],[Zeit S&amp;R]]*1000,0)</f>
        <v>897.85831960461292</v>
      </c>
      <c r="Y21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1" s="9">
        <f>(Table13[[#This Row],[Punkte S&amp;R]]+Table13[[#This Row],[Bonus S&amp;R]])</f>
        <v>897.85831960461292</v>
      </c>
      <c r="AA21" s="13">
        <f>IF(Table13[[#This Row],[Zeit S&amp;R]]&gt;0,_xlfn.RANK.EQ(Table13[[#This Row],[Gesamt S&amp;R]],Table13[Gesamt S&amp;R],0)," ")</f>
        <v>12</v>
      </c>
      <c r="AB21" s="11">
        <v>6.3703703703703707E-2</v>
      </c>
      <c r="AC21" s="13">
        <f>IF(Table13[[#This Row],[Zeit LC]]&gt;0,_xlfn.RANK.EQ(Table13[[#This Row],[Punkte LC]],Table13[Punkte LC],0)," ")</f>
        <v>1</v>
      </c>
      <c r="AD21" s="9">
        <f>IF(Table13[[#This Row],[Zeit LC]]&gt;0,MIN(Table13[Zeit LC])/Table13[[#This Row],[Zeit LC]]*1000,0)</f>
        <v>1000</v>
      </c>
      <c r="AE21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1" s="9">
        <f>(Table13[[#This Row],[Punkte LC]]+Table13[[#This Row],[Bonus LC]])</f>
        <v>1000</v>
      </c>
      <c r="AG21" s="13">
        <f>IF(Table13[[#This Row],[Zeit LC]]&gt;0,_xlfn.RANK.EQ(Table13[[#This Row],[Gesamt LC]],Table13[Gesamt LC],0)," ")</f>
        <v>1</v>
      </c>
      <c r="AH21" s="15">
        <f>MAX( Z21,AF21)</f>
        <v>1000</v>
      </c>
      <c r="AI21" s="11"/>
      <c r="AJ21" s="5" t="str">
        <f>IF(Table13[[#This Row],[Zeit BZF]]&gt;0,_xlfn.RANK.EQ(Table13[[#This Row],[Punkte BZF]],Table13[Punkte BZF],0)," ")</f>
        <v xml:space="preserve"> </v>
      </c>
      <c r="AK21" s="9">
        <f>IF(Table13[[#This Row],[Zeit BZF]]&gt;0,MIN(Table13[Zeit BZF])/Table13[[#This Row],[Zeit BZF]]*1000,0)</f>
        <v>0</v>
      </c>
      <c r="AL21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1" s="9">
        <f>(Table13[[#This Row],[Punkte BZF]]+Table13[[#This Row],[Bonus BZF]])</f>
        <v>0</v>
      </c>
      <c r="AN21" s="13" t="str">
        <f>IF(Table13[[#This Row],[Zeit BZF]]&gt;0,_xlfn.RANK.EQ(Table13[[#This Row],[Gesamt BZF]],Table13[Gesamt BZF],0)," ")</f>
        <v xml:space="preserve"> </v>
      </c>
      <c r="AO21" s="11"/>
      <c r="AP21" s="5" t="str">
        <f>IF(Table13[[#This Row],[Zeit EZF]]&gt;0,_xlfn.RANK.EQ(Table13[[#This Row],[Punkte EZF]],Table13[Punkte EZF],0)," ")</f>
        <v xml:space="preserve"> </v>
      </c>
      <c r="AQ21" s="9">
        <f>IF(Table13[[#This Row],[Zeit EZF]]&gt;0,MIN(Table13[Zeit EZF])/Table13[[#This Row],[Zeit EZF]]*1000,0)</f>
        <v>0</v>
      </c>
      <c r="AR21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1" s="9">
        <f>(Table13[[#This Row],[Punkte EZF]]+Table13[[#This Row],[Bonus EZF]])</f>
        <v>0</v>
      </c>
      <c r="AT21" s="13" t="str">
        <f>IF(Table13[[#This Row],[Zeit EZF]]&gt;0,_xlfn.RANK.EQ(Table13[[#This Row],[Gesamt EZF]],Table13[Gesamt EZF],0)," ")</f>
        <v xml:space="preserve"> </v>
      </c>
      <c r="AU21" s="17">
        <f t="shared" si="0"/>
        <v>0</v>
      </c>
    </row>
    <row r="22" spans="1:47" x14ac:dyDescent="0.25">
      <c r="A22" s="1" t="s">
        <v>118</v>
      </c>
      <c r="B22" s="1" t="s">
        <v>119</v>
      </c>
      <c r="C22" s="5"/>
      <c r="D22" s="5">
        <v>1996</v>
      </c>
      <c r="E22" s="5">
        <f>IF(Table13[[#This Row],[JG]],2026-Table13[[#This Row],[JG]],0)</f>
        <v>30</v>
      </c>
      <c r="F22" s="5"/>
      <c r="G22" s="26">
        <f>SUM(U22, AH22, AU22)</f>
        <v>1000</v>
      </c>
      <c r="H22" s="24">
        <f>_xlfn.RANK.EQ(Table13[[#This Row],[Gesamtpunkte]],Table13[Gesamtpunkte],0)</f>
        <v>18</v>
      </c>
      <c r="I22" s="19"/>
      <c r="J22" s="20" t="str">
        <f>IF(Table13[[#This Row],[Zeit LSC]]&gt;0,_xlfn.RANK.EQ(Table13[[#This Row],[Punkte LSC]],Table13[Punkte LSC],0)," ")</f>
        <v xml:space="preserve"> </v>
      </c>
      <c r="K22" s="21">
        <f>IF(Table13[[#This Row],[Zeit LSC]]&gt;0,MIN(Table13[Zeit LSC])/Table13[[#This Row],[Zeit LSC]]*1000,0)</f>
        <v>0</v>
      </c>
      <c r="L22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2" s="21">
        <f>(Table13[[#This Row],[Punkte LSC]]+Table13[[#This Row],[Bonus LSC]])</f>
        <v>0</v>
      </c>
      <c r="N22" s="23" t="str">
        <f>IF(Table13[[#This Row],[Zeit LSC]]&gt;0,_xlfn.RANK.EQ(Table13[[#This Row],[Gesamt LSC]],Table13[Gesamt LSC],0)," ")</f>
        <v xml:space="preserve"> </v>
      </c>
      <c r="O22" s="11"/>
      <c r="P22" s="5" t="str">
        <f>IF(Table13[[#This Row],[Zeit LKC]]&gt;0,_xlfn.RANK.EQ(Table13[[#This Row],[Punkte LKC]],Table13[Punkte LKC],0)," ")</f>
        <v xml:space="preserve"> </v>
      </c>
      <c r="Q22" s="6">
        <f>IF(Table13[[#This Row],[Zeit LKC]]&gt;0,MIN(Table13[Zeit LKC])/Table13[[#This Row],[Zeit LKC]]*1000,0)</f>
        <v>0</v>
      </c>
      <c r="R22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2" s="9">
        <f>(Table13[[#This Row],[Punkte LKC]]+Table13[[#This Row],[Bonus LKC]])</f>
        <v>0</v>
      </c>
      <c r="T22" s="9" t="str">
        <f>IF(Table13[[#This Row],[Zeit LKC]]&gt;0,_xlfn.RANK.EQ(Table13[[#This Row],[Gesamt LKC]],Table13[Gesamt LKC],0)," ")</f>
        <v xml:space="preserve"> </v>
      </c>
      <c r="U22" s="15">
        <f>MAX( S22,M22)</f>
        <v>0</v>
      </c>
      <c r="V22" s="11"/>
      <c r="W22" s="5" t="str">
        <f>IF(Table13[[#This Row],[Zeit S&amp;R]]&gt;0,_xlfn.RANK.EQ(Table13[[#This Row],[Punkte S&amp;R]],Table13[Punkte S&amp;R],0)," ")</f>
        <v xml:space="preserve"> </v>
      </c>
      <c r="X22" s="9">
        <f>IF(Table13[[#This Row],[Zeit S&amp;R]]&gt;0,MIN(Table13[Zeit S&amp;R])/Table13[[#This Row],[Zeit S&amp;R]]*1000,0)</f>
        <v>0</v>
      </c>
      <c r="Y22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2" s="9">
        <f>(Table13[[#This Row],[Punkte S&amp;R]]+Table13[[#This Row],[Bonus S&amp;R]])</f>
        <v>0</v>
      </c>
      <c r="AA22" s="13" t="str">
        <f>IF(Table13[[#This Row],[Zeit S&amp;R]]&gt;0,_xlfn.RANK.EQ(Table13[[#This Row],[Gesamt S&amp;R]],Table13[Gesamt S&amp;R],0)," ")</f>
        <v xml:space="preserve"> </v>
      </c>
      <c r="AB22" s="8"/>
      <c r="AC22" s="13" t="str">
        <f>IF(Table13[[#This Row],[Zeit LC]]&gt;0,_xlfn.RANK.EQ(Table13[[#This Row],[Punkte LC]],Table13[Punkte LC],0)," ")</f>
        <v xml:space="preserve"> </v>
      </c>
      <c r="AD22" s="9">
        <f>IF(Table13[[#This Row],[Zeit LC]]&gt;0,MIN(Table13[Zeit LC])/Table13[[#This Row],[Zeit LC]]*1000,0)</f>
        <v>0</v>
      </c>
      <c r="AE22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2" s="9">
        <f>(Table13[[#This Row],[Punkte LC]]+Table13[[#This Row],[Bonus LC]])</f>
        <v>0</v>
      </c>
      <c r="AG22" s="13" t="str">
        <f>IF(Table13[[#This Row],[Zeit LC]]&gt;0,_xlfn.RANK.EQ(Table13[[#This Row],[Gesamt LC]],Table13[Gesamt LC],0)," ")</f>
        <v xml:space="preserve"> </v>
      </c>
      <c r="AH22" s="15">
        <f>MAX( Z22,AF22)</f>
        <v>0</v>
      </c>
      <c r="AI22" s="8"/>
      <c r="AJ22" s="5" t="str">
        <f>IF(Table13[[#This Row],[Zeit BZF]]&gt;0,_xlfn.RANK.EQ(Table13[[#This Row],[Punkte BZF]],Table13[Punkte BZF],0)," ")</f>
        <v xml:space="preserve"> </v>
      </c>
      <c r="AK22" s="9">
        <f>IF(Table13[[#This Row],[Zeit BZF]]&gt;0,MIN(Table13[Zeit BZF])/Table13[[#This Row],[Zeit BZF]]*1000,0)</f>
        <v>0</v>
      </c>
      <c r="AL22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2" s="9">
        <f>(Table13[[#This Row],[Punkte BZF]]+Table13[[#This Row],[Bonus BZF]])</f>
        <v>0</v>
      </c>
      <c r="AN22" s="13" t="str">
        <f>IF(Table13[[#This Row],[Zeit BZF]]&gt;0,_xlfn.RANK.EQ(Table13[[#This Row],[Gesamt BZF]],Table13[Gesamt BZF],0)," ")</f>
        <v xml:space="preserve"> </v>
      </c>
      <c r="AO22" s="11">
        <v>1.9351851851851853E-2</v>
      </c>
      <c r="AP22" s="5">
        <f>IF(Table13[[#This Row],[Zeit EZF]]&gt;0,_xlfn.RANK.EQ(Table13[[#This Row],[Punkte EZF]],Table13[Punkte EZF],0)," ")</f>
        <v>1</v>
      </c>
      <c r="AQ22" s="9">
        <f>IF(Table13[[#This Row],[Zeit EZF]]&gt;0,MIN(Table13[Zeit EZF])/Table13[[#This Row],[Zeit EZF]]*1000,0)</f>
        <v>1000</v>
      </c>
      <c r="AR22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2" s="9">
        <f>(Table13[[#This Row],[Punkte EZF]]+Table13[[#This Row],[Bonus EZF]])</f>
        <v>1000</v>
      </c>
      <c r="AT22" s="13">
        <f>IF(Table13[[#This Row],[Zeit EZF]]&gt;0,_xlfn.RANK.EQ(Table13[[#This Row],[Gesamt EZF]],Table13[Gesamt EZF],0)," ")</f>
        <v>1</v>
      </c>
      <c r="AU22" s="17">
        <f t="shared" si="0"/>
        <v>1000</v>
      </c>
    </row>
    <row r="23" spans="1:47" x14ac:dyDescent="0.25">
      <c r="A23" s="18" t="s">
        <v>57</v>
      </c>
      <c r="B23" s="18" t="s">
        <v>58</v>
      </c>
      <c r="C23" s="5"/>
      <c r="D23" s="5">
        <v>1992</v>
      </c>
      <c r="E23" s="5">
        <f>IF(Table13[[#This Row],[JG]],2026-Table13[[#This Row],[JG]],0)</f>
        <v>34</v>
      </c>
      <c r="F23" s="5"/>
      <c r="G23" s="26">
        <f>SUM(U23, AH23, AU23)</f>
        <v>1000</v>
      </c>
      <c r="H23" s="24">
        <f>_xlfn.RANK.EQ(Table13[[#This Row],[Gesamtpunkte]],Table13[Gesamtpunkte],0)</f>
        <v>18</v>
      </c>
      <c r="I23" s="8"/>
      <c r="J23" s="5" t="str">
        <f>IF(Table13[[#This Row],[Zeit LSC]]&gt;0,_xlfn.RANK.EQ(Table13[[#This Row],[Punkte LSC]],Table13[Punkte LSC],0)," ")</f>
        <v xml:space="preserve"> </v>
      </c>
      <c r="K23" s="9">
        <f>IF(Table13[[#This Row],[Zeit LSC]]&gt;0,MIN(Table13[Zeit LSC])/Table13[[#This Row],[Zeit LSC]]*1000,0)</f>
        <v>0</v>
      </c>
      <c r="L23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3" s="9">
        <f>(Table13[[#This Row],[Punkte LSC]]+Table13[[#This Row],[Bonus LSC]])</f>
        <v>0</v>
      </c>
      <c r="N23" s="13" t="str">
        <f>IF(Table13[[#This Row],[Zeit LSC]]&gt;0,_xlfn.RANK.EQ(Table13[[#This Row],[Gesamt LSC]],Table13[Gesamt LSC],0)," ")</f>
        <v xml:space="preserve"> </v>
      </c>
      <c r="O23" s="11"/>
      <c r="P23" s="5" t="str">
        <f>IF(Table13[[#This Row],[Zeit LKC]]&gt;0,_xlfn.RANK.EQ(Table13[[#This Row],[Punkte LKC]],Table13[Punkte LKC],0)," ")</f>
        <v xml:space="preserve"> </v>
      </c>
      <c r="Q23" s="6">
        <f>IF(Table13[[#This Row],[Zeit LKC]]&gt;0,MIN(Table13[Zeit LKC])/Table13[[#This Row],[Zeit LKC]]*1000,0)</f>
        <v>0</v>
      </c>
      <c r="R23" s="9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3" s="9">
        <f>(Table13[[#This Row],[Punkte LKC]]+Table13[[#This Row],[Bonus LKC]])</f>
        <v>0</v>
      </c>
      <c r="T23" s="13" t="str">
        <f>IF(Table13[[#This Row],[Zeit LKC]]&gt;0,_xlfn.RANK.EQ(Table13[[#This Row],[Gesamt LKC]],Table13[Gesamt LKC],0)," ")</f>
        <v xml:space="preserve"> </v>
      </c>
      <c r="U23" s="15">
        <f>MAX( S23,M23)</f>
        <v>0</v>
      </c>
      <c r="V23" s="11"/>
      <c r="W23" s="5" t="str">
        <f>IF(Table13[[#This Row],[Zeit S&amp;R]]&gt;0,_xlfn.RANK.EQ(Table13[[#This Row],[Punkte S&amp;R]],Table13[Punkte S&amp;R],0)," ")</f>
        <v xml:space="preserve"> </v>
      </c>
      <c r="X23" s="9">
        <f>IF(Table13[[#This Row],[Zeit S&amp;R]]&gt;0,MIN(Table13[Zeit S&amp;R])/Table13[[#This Row],[Zeit S&amp;R]]*1000,0)</f>
        <v>0</v>
      </c>
      <c r="Y23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3" s="9">
        <f>(Table13[[#This Row],[Punkte S&amp;R]]+Table13[[#This Row],[Bonus S&amp;R]])</f>
        <v>0</v>
      </c>
      <c r="AA23" s="13" t="str">
        <f>IF(Table13[[#This Row],[Zeit S&amp;R]]&gt;0,_xlfn.RANK.EQ(Table13[[#This Row],[Gesamt S&amp;R]],Table13[Gesamt S&amp;R],0)," ")</f>
        <v xml:space="preserve"> </v>
      </c>
      <c r="AB23" s="11"/>
      <c r="AC23" s="13" t="str">
        <f>IF(Table13[[#This Row],[Zeit LC]]&gt;0,_xlfn.RANK.EQ(Table13[[#This Row],[Punkte LC]],Table13[Punkte LC],0)," ")</f>
        <v xml:space="preserve"> </v>
      </c>
      <c r="AD23" s="9">
        <f>IF(Table13[[#This Row],[Zeit LC]]&gt;0,MIN(Table13[Zeit LC])/Table13[[#This Row],[Zeit LC]]*1000,0)</f>
        <v>0</v>
      </c>
      <c r="AE23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3" s="9">
        <f>(Table13[[#This Row],[Punkte LC]]+Table13[[#This Row],[Bonus LC]])</f>
        <v>0</v>
      </c>
      <c r="AG23" s="13" t="str">
        <f>IF(Table13[[#This Row],[Zeit LC]]&gt;0,_xlfn.RANK.EQ(Table13[[#This Row],[Gesamt LC]],Table13[Gesamt LC],0)," ")</f>
        <v xml:space="preserve"> </v>
      </c>
      <c r="AH23" s="15">
        <f>MAX( Z23,AF23)</f>
        <v>0</v>
      </c>
      <c r="AI23" s="11">
        <v>2.0752314814814814E-2</v>
      </c>
      <c r="AJ23" s="5">
        <f>IF(Table13[[#This Row],[Zeit BZF]]&gt;0,_xlfn.RANK.EQ(Table13[[#This Row],[Punkte BZF]],Table13[Punkte BZF],0)," ")</f>
        <v>1</v>
      </c>
      <c r="AK23" s="9">
        <f>IF(Table13[[#This Row],[Zeit BZF]]&gt;0,MIN(Table13[Zeit BZF])/Table13[[#This Row],[Zeit BZF]]*1000,0)</f>
        <v>1000</v>
      </c>
      <c r="AL23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3" s="9">
        <f>(Table13[[#This Row],[Punkte BZF]]+Table13[[#This Row],[Bonus BZF]])</f>
        <v>1000</v>
      </c>
      <c r="AN23" s="13">
        <f>IF(Table13[[#This Row],[Zeit BZF]]&gt;0,_xlfn.RANK.EQ(Table13[[#This Row],[Gesamt BZF]],Table13[Gesamt BZF],0)," ")</f>
        <v>1</v>
      </c>
      <c r="AO23" s="11">
        <v>2.0590277777777777E-2</v>
      </c>
      <c r="AP23" s="5">
        <f>IF(Table13[[#This Row],[Zeit EZF]]&gt;0,_xlfn.RANK.EQ(Table13[[#This Row],[Punkte EZF]],Table13[Punkte EZF],0)," ")</f>
        <v>6</v>
      </c>
      <c r="AQ23" s="9">
        <f>IF(Table13[[#This Row],[Zeit EZF]]&gt;0,MIN(Table13[Zeit EZF])/Table13[[#This Row],[Zeit EZF]]*1000,0)</f>
        <v>939.85385047779653</v>
      </c>
      <c r="AR23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3" s="9">
        <f>(Table13[[#This Row],[Punkte EZF]]+Table13[[#This Row],[Bonus EZF]])</f>
        <v>939.85385047779653</v>
      </c>
      <c r="AT23" s="13">
        <f>IF(Table13[[#This Row],[Zeit EZF]]&gt;0,_xlfn.RANK.EQ(Table13[[#This Row],[Gesamt EZF]],Table13[Gesamt EZF],0)," ")</f>
        <v>8</v>
      </c>
      <c r="AU23" s="17">
        <f t="shared" si="0"/>
        <v>1000</v>
      </c>
    </row>
    <row r="24" spans="1:47" x14ac:dyDescent="0.25">
      <c r="A24" s="1" t="s">
        <v>79</v>
      </c>
      <c r="B24" s="1" t="s">
        <v>95</v>
      </c>
      <c r="C24" s="5"/>
      <c r="D24" s="5">
        <v>2001</v>
      </c>
      <c r="E24" s="5">
        <f>IF(Table13[[#This Row],[JG]],2026-Table13[[#This Row],[JG]],0)</f>
        <v>25</v>
      </c>
      <c r="F24" s="4" t="s">
        <v>34</v>
      </c>
      <c r="G24" s="26">
        <f>SUM(U24, AH24, AU24)</f>
        <v>995.61563755937152</v>
      </c>
      <c r="H24" s="24">
        <f>_xlfn.RANK.EQ(Table13[[#This Row],[Gesamtpunkte]],Table13[Gesamtpunkte],0)</f>
        <v>22</v>
      </c>
      <c r="I24" s="11"/>
      <c r="J24" s="4" t="str">
        <f>IF(Table13[[#This Row],[Zeit LSC]]&gt;0,_xlfn.RANK.EQ(Table13[[#This Row],[Punkte LSC]],Table13[Punkte LSC],0)," ")</f>
        <v xml:space="preserve"> </v>
      </c>
      <c r="K24" s="9">
        <f>IF(Table13[[#This Row],[Zeit LSC]]&gt;0,MIN(Table13[Zeit LSC])/Table13[[#This Row],[Zeit LSC]]*1000,0)</f>
        <v>0</v>
      </c>
      <c r="L24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4" s="9">
        <f>(Table13[[#This Row],[Punkte LSC]]+Table13[[#This Row],[Bonus LSC]])</f>
        <v>0</v>
      </c>
      <c r="N24" s="12" t="str">
        <f>IF(Table13[[#This Row],[Zeit LSC]]&gt;0,_xlfn.RANK.EQ(Table13[[#This Row],[Gesamt LSC]],Table13[Gesamt LSC],0)," ")</f>
        <v xml:space="preserve"> </v>
      </c>
      <c r="O24" s="8"/>
      <c r="P24" s="5" t="str">
        <f>IF(Table13[[#This Row],[Zeit LKC]]&gt;0,_xlfn.RANK.EQ(Table13[[#This Row],[Punkte LKC]],Table13[Punkte LKC],0)," ")</f>
        <v xml:space="preserve"> </v>
      </c>
      <c r="Q24" s="6">
        <f>IF(Table13[[#This Row],[Zeit LKC]]&gt;0,MIN(Table13[Zeit LKC])/Table13[[#This Row],[Zeit LKC]]*1000,0)</f>
        <v>0</v>
      </c>
      <c r="R2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4" s="6">
        <f>(Table13[[#This Row],[Punkte LKC]]+Table13[[#This Row],[Bonus LKC]])</f>
        <v>0</v>
      </c>
      <c r="T24" s="12" t="str">
        <f>IF(Table13[[#This Row],[Zeit LKC]]&gt;0,_xlfn.RANK.EQ(Table13[[#This Row],[Gesamt LKC]],Table13[Gesamt LKC],0)," ")</f>
        <v xml:space="preserve"> </v>
      </c>
      <c r="U24" s="15">
        <f>MAX( S24,M24)</f>
        <v>0</v>
      </c>
      <c r="V24" s="11">
        <v>3.1678240740740743E-2</v>
      </c>
      <c r="W24" s="5">
        <f>IF(Table13[[#This Row],[Zeit S&amp;R]]&gt;0,_xlfn.RANK.EQ(Table13[[#This Row],[Punkte S&amp;R]],Table13[Punkte S&amp;R],0)," ")</f>
        <v>2</v>
      </c>
      <c r="X24" s="9">
        <f>IF(Table13[[#This Row],[Zeit S&amp;R]]&gt;0,MIN(Table13[Zeit S&amp;R])/Table13[[#This Row],[Zeit S&amp;R]]*1000,0)</f>
        <v>995.61563755937152</v>
      </c>
      <c r="Y24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4" s="9">
        <f>(Table13[[#This Row],[Punkte S&amp;R]]+Table13[[#This Row],[Bonus S&amp;R]])</f>
        <v>995.61563755937152</v>
      </c>
      <c r="AA24" s="12">
        <f>IF(Table13[[#This Row],[Zeit S&amp;R]]&gt;0,_xlfn.RANK.EQ(Table13[[#This Row],[Gesamt S&amp;R]],Table13[Gesamt S&amp;R],0)," ")</f>
        <v>2</v>
      </c>
      <c r="AB24" s="11"/>
      <c r="AC24" s="12" t="str">
        <f>IF(Table13[[#This Row],[Zeit LC]]&gt;0,_xlfn.RANK.EQ(Table13[[#This Row],[Punkte LC]],Table13[Punkte LC],0)," ")</f>
        <v xml:space="preserve"> </v>
      </c>
      <c r="AD24" s="9">
        <f>IF(Table13[[#This Row],[Zeit LC]]&gt;0,MIN(Table13[Zeit LC])/Table13[[#This Row],[Zeit LC]]*1000,0)</f>
        <v>0</v>
      </c>
      <c r="AE24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4" s="9">
        <f>(Table13[[#This Row],[Punkte LC]]+Table13[[#This Row],[Bonus LC]])</f>
        <v>0</v>
      </c>
      <c r="AG24" s="12" t="str">
        <f>IF(Table13[[#This Row],[Zeit LC]]&gt;0,_xlfn.RANK.EQ(Table13[[#This Row],[Gesamt LC]],Table13[Gesamt LC],0)," ")</f>
        <v xml:space="preserve"> </v>
      </c>
      <c r="AH24" s="15">
        <f>MAX( Z24,AF24)</f>
        <v>995.61563755937152</v>
      </c>
      <c r="AI24" s="11"/>
      <c r="AJ24" s="5" t="str">
        <f>IF(Table13[[#This Row],[Zeit BZF]]&gt;0,_xlfn.RANK.EQ(Table13[[#This Row],[Punkte BZF]],Table13[Punkte BZF],0)," ")</f>
        <v xml:space="preserve"> </v>
      </c>
      <c r="AK24" s="9">
        <f>IF(Table13[[#This Row],[Zeit BZF]]&gt;0,MIN(Table13[Zeit BZF])/Table13[[#This Row],[Zeit BZF]]*1000,0)</f>
        <v>0</v>
      </c>
      <c r="AL24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4" s="9">
        <f>(Table13[[#This Row],[Punkte BZF]]+Table13[[#This Row],[Bonus BZF]])</f>
        <v>0</v>
      </c>
      <c r="AN24" s="12" t="str">
        <f>IF(Table13[[#This Row],[Zeit BZF]]&gt;0,_xlfn.RANK.EQ(Table13[[#This Row],[Gesamt BZF]],Table13[Gesamt BZF],0)," ")</f>
        <v xml:space="preserve"> </v>
      </c>
      <c r="AO24" s="11"/>
      <c r="AP24" s="5" t="str">
        <f>IF(Table13[[#This Row],[Zeit EZF]]&gt;0,_xlfn.RANK.EQ(Table13[[#This Row],[Punkte EZF]],Table13[Punkte EZF],0)," ")</f>
        <v xml:space="preserve"> </v>
      </c>
      <c r="AQ24" s="9">
        <f>IF(Table13[[#This Row],[Zeit EZF]]&gt;0,MIN(Table13[Zeit EZF])/Table13[[#This Row],[Zeit EZF]]*1000,0)</f>
        <v>0</v>
      </c>
      <c r="AR24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4" s="9">
        <f>(Table13[[#This Row],[Punkte EZF]]+Table13[[#This Row],[Bonus EZF]])</f>
        <v>0</v>
      </c>
      <c r="AT24" s="12" t="str">
        <f>IF(Table13[[#This Row],[Zeit EZF]]&gt;0,_xlfn.RANK.EQ(Table13[[#This Row],[Gesamt EZF]],Table13[Gesamt EZF],0)," ")</f>
        <v xml:space="preserve"> </v>
      </c>
      <c r="AU24" s="17">
        <f t="shared" si="0"/>
        <v>0</v>
      </c>
    </row>
    <row r="25" spans="1:47" x14ac:dyDescent="0.25">
      <c r="A25" s="18" t="s">
        <v>75</v>
      </c>
      <c r="B25" s="1" t="s">
        <v>76</v>
      </c>
      <c r="C25" s="5"/>
      <c r="D25" s="5">
        <v>1996</v>
      </c>
      <c r="E25" s="5">
        <f>IF(Table13[[#This Row],[JG]],2026-Table13[[#This Row],[JG]],0)</f>
        <v>30</v>
      </c>
      <c r="F25" s="5"/>
      <c r="G25" s="26">
        <f>SUM(U25, AH25, AU25)</f>
        <v>990.99747929420232</v>
      </c>
      <c r="H25" s="24">
        <f>_xlfn.RANK.EQ(Table13[[#This Row],[Gesamtpunkte]],Table13[Gesamtpunkte],0)</f>
        <v>23</v>
      </c>
      <c r="I25" s="8"/>
      <c r="J25" s="4" t="str">
        <f>IF(Table13[[#This Row],[Zeit LSC]]&gt;0,_xlfn.RANK.EQ(Table13[[#This Row],[Punkte LSC]],Table13[Punkte LSC],0)," ")</f>
        <v xml:space="preserve"> </v>
      </c>
      <c r="K25" s="6">
        <f>IF(Table13[[#This Row],[Zeit LSC]]&gt;0,MIN(Table13[Zeit LSC])/Table13[[#This Row],[Zeit LSC]]*1000,0)</f>
        <v>0</v>
      </c>
      <c r="L25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5" s="6">
        <f>(Table13[[#This Row],[Punkte LSC]]+Table13[[#This Row],[Bonus LSC]])</f>
        <v>0</v>
      </c>
      <c r="N25" s="12" t="str">
        <f>IF(Table13[[#This Row],[Zeit LSC]]&gt;0,_xlfn.RANK.EQ(Table13[[#This Row],[Gesamt LSC]],Table13[Gesamt LSC],0)," ")</f>
        <v xml:space="preserve"> </v>
      </c>
      <c r="O25" s="4"/>
      <c r="P25" s="4" t="str">
        <f>IF(Table13[[#This Row],[Zeit LKC]]&gt;0,_xlfn.RANK.EQ(Table13[[#This Row],[Punkte LKC]],Table13[Punkte LKC],0)," ")</f>
        <v xml:space="preserve"> </v>
      </c>
      <c r="Q25" s="6">
        <f>IF(Table13[[#This Row],[Zeit LKC]]&gt;0,MIN(Table13[Zeit LKC])/Table13[[#This Row],[Zeit LKC]]*1000,0)</f>
        <v>0</v>
      </c>
      <c r="R25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5" s="6">
        <f>(Table13[[#This Row],[Punkte LKC]]+Table13[[#This Row],[Bonus LKC]])</f>
        <v>0</v>
      </c>
      <c r="T25" s="12" t="str">
        <f>IF(Table13[[#This Row],[Zeit LKC]]&gt;0,_xlfn.RANK.EQ(Table13[[#This Row],[Gesamt LKC]],Table13[Gesamt LKC],0)," ")</f>
        <v xml:space="preserve"> </v>
      </c>
      <c r="U25" s="15">
        <f>MAX( S25,M25)</f>
        <v>0</v>
      </c>
      <c r="V25" s="11">
        <v>3.7048611111111109E-2</v>
      </c>
      <c r="W25" s="5">
        <f>IF(Table13[[#This Row],[Zeit S&amp;R]]&gt;0,_xlfn.RANK.EQ(Table13[[#This Row],[Punkte S&amp;R]],Table13[Punkte S&amp;R],0)," ")</f>
        <v>13</v>
      </c>
      <c r="X25" s="9">
        <f>IF(Table13[[#This Row],[Zeit S&amp;R]]&gt;0,MIN(Table13[Zeit S&amp;R])/Table13[[#This Row],[Zeit S&amp;R]]*1000,0)</f>
        <v>851.29646985317095</v>
      </c>
      <c r="Y25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5" s="9">
        <f>(Table13[[#This Row],[Punkte S&amp;R]]+Table13[[#This Row],[Bonus S&amp;R]])</f>
        <v>851.29646985317095</v>
      </c>
      <c r="AA25" s="13">
        <f>IF(Table13[[#This Row],[Zeit S&amp;R]]&gt;0,_xlfn.RANK.EQ(Table13[[#This Row],[Gesamt S&amp;R]],Table13[Gesamt S&amp;R],0)," ")</f>
        <v>13</v>
      </c>
      <c r="AB25" s="11">
        <v>6.4282407407407413E-2</v>
      </c>
      <c r="AC25" s="13">
        <f>IF(Table13[[#This Row],[Zeit LC]]&gt;0,_xlfn.RANK.EQ(Table13[[#This Row],[Punkte LC]],Table13[Punkte LC],0)," ")</f>
        <v>3</v>
      </c>
      <c r="AD25" s="9">
        <f>IF(Table13[[#This Row],[Zeit LC]]&gt;0,MIN(Table13[Zeit LC])/Table13[[#This Row],[Zeit LC]]*1000,0)</f>
        <v>990.99747929420232</v>
      </c>
      <c r="AE25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5" s="9">
        <f>(Table13[[#This Row],[Punkte LC]]+Table13[[#This Row],[Bonus LC]])</f>
        <v>990.99747929420232</v>
      </c>
      <c r="AG25" s="13">
        <f>IF(Table13[[#This Row],[Zeit LC]]&gt;0,_xlfn.RANK.EQ(Table13[[#This Row],[Gesamt LC]],Table13[Gesamt LC],0)," ")</f>
        <v>3</v>
      </c>
      <c r="AH25" s="15">
        <f>MAX( Z25,AF25)</f>
        <v>990.99747929420232</v>
      </c>
      <c r="AI25" s="11"/>
      <c r="AJ25" s="5" t="str">
        <f>IF(Table13[[#This Row],[Zeit BZF]]&gt;0,_xlfn.RANK.EQ(Table13[[#This Row],[Punkte BZF]],Table13[Punkte BZF],0)," ")</f>
        <v xml:space="preserve"> </v>
      </c>
      <c r="AK25" s="9">
        <f>IF(Table13[[#This Row],[Zeit BZF]]&gt;0,MIN(Table13[Zeit BZF])/Table13[[#This Row],[Zeit BZF]]*1000,0)</f>
        <v>0</v>
      </c>
      <c r="AL25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5" s="9">
        <f>(Table13[[#This Row],[Punkte BZF]]+Table13[[#This Row],[Bonus BZF]])</f>
        <v>0</v>
      </c>
      <c r="AN25" s="13" t="str">
        <f>IF(Table13[[#This Row],[Zeit BZF]]&gt;0,_xlfn.RANK.EQ(Table13[[#This Row],[Gesamt BZF]],Table13[Gesamt BZF],0)," ")</f>
        <v xml:space="preserve"> </v>
      </c>
      <c r="AO25" s="11"/>
      <c r="AP25" s="5" t="str">
        <f>IF(Table13[[#This Row],[Zeit EZF]]&gt;0,_xlfn.RANK.EQ(Table13[[#This Row],[Punkte EZF]],Table13[Punkte EZF],0)," ")</f>
        <v xml:space="preserve"> </v>
      </c>
      <c r="AQ25" s="9">
        <f>IF(Table13[[#This Row],[Zeit EZF]]&gt;0,MIN(Table13[Zeit EZF])/Table13[[#This Row],[Zeit EZF]]*1000,0)</f>
        <v>0</v>
      </c>
      <c r="AR25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5" s="9">
        <f>(Table13[[#This Row],[Punkte EZF]]+Table13[[#This Row],[Bonus EZF]])</f>
        <v>0</v>
      </c>
      <c r="AT25" s="13" t="str">
        <f>IF(Table13[[#This Row],[Zeit EZF]]&gt;0,_xlfn.RANK.EQ(Table13[[#This Row],[Gesamt EZF]],Table13[Gesamt EZF],0)," ")</f>
        <v xml:space="preserve"> </v>
      </c>
      <c r="AU25" s="17">
        <f t="shared" si="0"/>
        <v>0</v>
      </c>
    </row>
    <row r="26" spans="1:47" x14ac:dyDescent="0.25">
      <c r="A26" s="1" t="s">
        <v>78</v>
      </c>
      <c r="B26" s="1" t="s">
        <v>72</v>
      </c>
      <c r="C26" s="5"/>
      <c r="D26" s="5">
        <v>2008</v>
      </c>
      <c r="E26" s="5">
        <f>IF(Table13[[#This Row],[JG]],2026-Table13[[#This Row],[JG]],0)</f>
        <v>18</v>
      </c>
      <c r="F26" s="5"/>
      <c r="G26" s="26">
        <f>SUM(U26, AH26, AU26)</f>
        <v>975.42857142857156</v>
      </c>
      <c r="H26" s="24">
        <f>_xlfn.RANK.EQ(Table13[[#This Row],[Gesamtpunkte]],Table13[Gesamtpunkte],0)</f>
        <v>24</v>
      </c>
      <c r="I26" s="8"/>
      <c r="J26" s="4" t="str">
        <f>IF(Table13[[#This Row],[Zeit LSC]]&gt;0,_xlfn.RANK.EQ(Table13[[#This Row],[Punkte LSC]],Table13[Punkte LSC],0)," ")</f>
        <v xml:space="preserve"> </v>
      </c>
      <c r="K26" s="6">
        <f>IF(Table13[[#This Row],[Zeit LSC]]&gt;0,MIN(Table13[Zeit LSC])/Table13[[#This Row],[Zeit LSC]]*1000,0)</f>
        <v>0</v>
      </c>
      <c r="L26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6" s="6">
        <f>(Table13[[#This Row],[Punkte LSC]]+Table13[[#This Row],[Bonus LSC]])</f>
        <v>0</v>
      </c>
      <c r="N26" s="12" t="str">
        <f>IF(Table13[[#This Row],[Zeit LSC]]&gt;0,_xlfn.RANK.EQ(Table13[[#This Row],[Gesamt LSC]],Table13[Gesamt LSC],0)," ")</f>
        <v xml:space="preserve"> </v>
      </c>
      <c r="O26" s="11"/>
      <c r="P26" s="5" t="str">
        <f>IF(Table13[[#This Row],[Zeit LKC]]&gt;0,_xlfn.RANK.EQ(Table13[[#This Row],[Punkte LKC]],Table13[Punkte LKC],0)," ")</f>
        <v xml:space="preserve"> </v>
      </c>
      <c r="Q26" s="6">
        <f>IF(Table13[[#This Row],[Zeit LKC]]&gt;0,MIN(Table13[Zeit LKC])/Table13[[#This Row],[Zeit LKC]]*1000,0)</f>
        <v>0</v>
      </c>
      <c r="R26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6" s="9">
        <f>(Table13[[#This Row],[Punkte LKC]]+Table13[[#This Row],[Bonus LKC]])</f>
        <v>0</v>
      </c>
      <c r="T26" s="13" t="str">
        <f>IF(Table13[[#This Row],[Zeit LKC]]&gt;0,_xlfn.RANK.EQ(Table13[[#This Row],[Gesamt LKC]],Table13[Gesamt LKC],0)," ")</f>
        <v xml:space="preserve"> </v>
      </c>
      <c r="U26" s="15">
        <f>MAX( S26,M26)</f>
        <v>0</v>
      </c>
      <c r="V26" s="11"/>
      <c r="W26" s="5" t="str">
        <f>IF(Table13[[#This Row],[Zeit S&amp;R]]&gt;0,_xlfn.RANK.EQ(Table13[[#This Row],[Punkte S&amp;R]],Table13[Punkte S&amp;R],0)," ")</f>
        <v xml:space="preserve"> </v>
      </c>
      <c r="X26" s="9">
        <f>IF(Table13[[#This Row],[Zeit S&amp;R]]&gt;0,MIN(Table13[Zeit S&amp;R])/Table13[[#This Row],[Zeit S&amp;R]]*1000,0)</f>
        <v>0</v>
      </c>
      <c r="Y26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6" s="9">
        <f>(Table13[[#This Row],[Punkte S&amp;R]]+Table13[[#This Row],[Bonus S&amp;R]])</f>
        <v>0</v>
      </c>
      <c r="AA26" s="13" t="str">
        <f>IF(Table13[[#This Row],[Zeit S&amp;R]]&gt;0,_xlfn.RANK.EQ(Table13[[#This Row],[Gesamt S&amp;R]],Table13[Gesamt S&amp;R],0)," ")</f>
        <v xml:space="preserve"> </v>
      </c>
      <c r="AB26" s="11"/>
      <c r="AC26" s="13" t="str">
        <f>IF(Table13[[#This Row],[Zeit LC]]&gt;0,_xlfn.RANK.EQ(Table13[[#This Row],[Punkte LC]],Table13[Punkte LC],0)," ")</f>
        <v xml:space="preserve"> </v>
      </c>
      <c r="AD26" s="9">
        <f>IF(Table13[[#This Row],[Zeit LC]]&gt;0,MIN(Table13[Zeit LC])/Table13[[#This Row],[Zeit LC]]*1000,0)</f>
        <v>0</v>
      </c>
      <c r="AE26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6" s="9">
        <f>(Table13[[#This Row],[Punkte LC]]+Table13[[#This Row],[Bonus LC]])</f>
        <v>0</v>
      </c>
      <c r="AG26" s="13" t="str">
        <f>IF(Table13[[#This Row],[Zeit LC]]&gt;0,_xlfn.RANK.EQ(Table13[[#This Row],[Gesamt LC]],Table13[Gesamt LC],0)," ")</f>
        <v xml:space="preserve"> </v>
      </c>
      <c r="AH26" s="15">
        <f>MAX( Z26,AF26)</f>
        <v>0</v>
      </c>
      <c r="AI26" s="11"/>
      <c r="AJ26" s="5" t="str">
        <f>IF(Table13[[#This Row],[Zeit BZF]]&gt;0,_xlfn.RANK.EQ(Table13[[#This Row],[Punkte BZF]],Table13[Punkte BZF],0)," ")</f>
        <v xml:space="preserve"> </v>
      </c>
      <c r="AK26" s="9">
        <f>IF(Table13[[#This Row],[Zeit BZF]]&gt;0,MIN(Table13[Zeit BZF])/Table13[[#This Row],[Zeit BZF]]*1000,0)</f>
        <v>0</v>
      </c>
      <c r="AL26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6" s="9">
        <f>(Table13[[#This Row],[Punkte BZF]]+Table13[[#This Row],[Bonus BZF]])</f>
        <v>0</v>
      </c>
      <c r="AN26" s="13" t="str">
        <f>IF(Table13[[#This Row],[Zeit BZF]]&gt;0,_xlfn.RANK.EQ(Table13[[#This Row],[Gesamt BZF]],Table13[Gesamt BZF],0)," ")</f>
        <v xml:space="preserve"> </v>
      </c>
      <c r="AO26" s="11">
        <v>2.0254629629629629E-2</v>
      </c>
      <c r="AP26" s="5">
        <f>IF(Table13[[#This Row],[Zeit EZF]]&gt;0,_xlfn.RANK.EQ(Table13[[#This Row],[Punkte EZF]],Table13[Punkte EZF],0)," ")</f>
        <v>5</v>
      </c>
      <c r="AQ26" s="9">
        <f>IF(Table13[[#This Row],[Zeit EZF]]&gt;0,MIN(Table13[Zeit EZF])/Table13[[#This Row],[Zeit EZF]]*1000,0)</f>
        <v>955.42857142857156</v>
      </c>
      <c r="AR26" s="10">
        <f>IF(Table13[[#This Row],[Zeit EZF]]&gt;0,SUM(IF(Table13[[#This Row],[Alter]]&gt;40,(Table13[[#This Row],[Alter]]-40)*4,0),IF(AND(Table13[[#This Row],[Alter]]&lt;20,Table13[[#This Row],[Alter]]&gt;0),(20-Table13[[#This Row],[Alter]])*10,0)),0)</f>
        <v>20</v>
      </c>
      <c r="AS26" s="9">
        <f>(Table13[[#This Row],[Punkte EZF]]+Table13[[#This Row],[Bonus EZF]])</f>
        <v>975.42857142857156</v>
      </c>
      <c r="AT26" s="13">
        <f>IF(Table13[[#This Row],[Zeit EZF]]&gt;0,_xlfn.RANK.EQ(Table13[[#This Row],[Gesamt EZF]],Table13[Gesamt EZF],0)," ")</f>
        <v>4</v>
      </c>
      <c r="AU26" s="17">
        <f t="shared" si="0"/>
        <v>975.42857142857156</v>
      </c>
    </row>
    <row r="27" spans="1:47" x14ac:dyDescent="0.25">
      <c r="A27" s="1" t="s">
        <v>116</v>
      </c>
      <c r="B27" s="1" t="s">
        <v>117</v>
      </c>
      <c r="C27" s="5"/>
      <c r="D27" s="5">
        <v>1993</v>
      </c>
      <c r="E27" s="5">
        <f>IF(Table13[[#This Row],[JG]],2026-Table13[[#This Row],[JG]],0)</f>
        <v>33</v>
      </c>
      <c r="F27" s="4" t="s">
        <v>34</v>
      </c>
      <c r="G27" s="26">
        <f>SUM(U27, AH27, AU27)</f>
        <v>973.22467986030279</v>
      </c>
      <c r="H27" s="24">
        <f>_xlfn.RANK.EQ(Table13[[#This Row],[Gesamtpunkte]],Table13[Gesamtpunkte],0)</f>
        <v>25</v>
      </c>
      <c r="I27" s="11"/>
      <c r="J27" s="4" t="str">
        <f>IF(Table13[[#This Row],[Zeit LSC]]&gt;0,_xlfn.RANK.EQ(Table13[[#This Row],[Punkte LSC]],Table13[Punkte LSC],0)," ")</f>
        <v xml:space="preserve"> </v>
      </c>
      <c r="K27" s="9">
        <f>IF(Table13[[#This Row],[Zeit LSC]]&gt;0,MIN(Table13[Zeit LSC])/Table13[[#This Row],[Zeit LSC]]*1000,0)</f>
        <v>0</v>
      </c>
      <c r="L27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7" s="9">
        <f>(Table13[[#This Row],[Punkte LSC]]+Table13[[#This Row],[Bonus LSC]])</f>
        <v>0</v>
      </c>
      <c r="N27" s="12" t="str">
        <f>IF(Table13[[#This Row],[Zeit LSC]]&gt;0,_xlfn.RANK.EQ(Table13[[#This Row],[Gesamt LSC]],Table13[Gesamt LSC],0)," ")</f>
        <v xml:space="preserve"> </v>
      </c>
      <c r="O27" s="8"/>
      <c r="P27" s="5" t="str">
        <f>IF(Table13[[#This Row],[Zeit LKC]]&gt;0,_xlfn.RANK.EQ(Table13[[#This Row],[Punkte LKC]],Table13[Punkte LKC],0)," ")</f>
        <v xml:space="preserve"> </v>
      </c>
      <c r="Q27" s="6">
        <f>IF(Table13[[#This Row],[Zeit LKC]]&gt;0,MIN(Table13[Zeit LKC])/Table13[[#This Row],[Zeit LKC]]*1000,0)</f>
        <v>0</v>
      </c>
      <c r="R27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7" s="6">
        <f>(Table13[[#This Row],[Punkte LKC]]+Table13[[#This Row],[Bonus LKC]])</f>
        <v>0</v>
      </c>
      <c r="T27" s="12" t="str">
        <f>IF(Table13[[#This Row],[Zeit LKC]]&gt;0,_xlfn.RANK.EQ(Table13[[#This Row],[Gesamt LKC]],Table13[Gesamt LKC],0)," ")</f>
        <v xml:space="preserve"> </v>
      </c>
      <c r="U27" s="15">
        <f>MAX( S27,M27)</f>
        <v>0</v>
      </c>
      <c r="V27" s="11"/>
      <c r="W27" s="5" t="str">
        <f>IF(Table13[[#This Row],[Zeit S&amp;R]]&gt;0,_xlfn.RANK.EQ(Table13[[#This Row],[Punkte S&amp;R]],Table13[Punkte S&amp;R],0)," ")</f>
        <v xml:space="preserve"> </v>
      </c>
      <c r="X27" s="9">
        <f>IF(Table13[[#This Row],[Zeit S&amp;R]]&gt;0,MIN(Table13[Zeit S&amp;R])/Table13[[#This Row],[Zeit S&amp;R]]*1000,0)</f>
        <v>0</v>
      </c>
      <c r="Y27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7" s="9">
        <f>(Table13[[#This Row],[Punkte S&amp;R]]+Table13[[#This Row],[Bonus S&amp;R]])</f>
        <v>0</v>
      </c>
      <c r="AA27" s="12" t="str">
        <f>IF(Table13[[#This Row],[Zeit S&amp;R]]&gt;0,_xlfn.RANK.EQ(Table13[[#This Row],[Gesamt S&amp;R]],Table13[Gesamt S&amp;R],0)," ")</f>
        <v xml:space="preserve"> </v>
      </c>
      <c r="AB27" s="11"/>
      <c r="AC27" s="12" t="str">
        <f>IF(Table13[[#This Row],[Zeit LC]]&gt;0,_xlfn.RANK.EQ(Table13[[#This Row],[Punkte LC]],Table13[Punkte LC],0)," ")</f>
        <v xml:space="preserve"> </v>
      </c>
      <c r="AD27" s="9">
        <f>IF(Table13[[#This Row],[Zeit LC]]&gt;0,MIN(Table13[Zeit LC])/Table13[[#This Row],[Zeit LC]]*1000,0)</f>
        <v>0</v>
      </c>
      <c r="AE27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7" s="9">
        <f>(Table13[[#This Row],[Punkte LC]]+Table13[[#This Row],[Bonus LC]])</f>
        <v>0</v>
      </c>
      <c r="AG27" s="12" t="str">
        <f>IF(Table13[[#This Row],[Zeit LC]]&gt;0,_xlfn.RANK.EQ(Table13[[#This Row],[Gesamt LC]],Table13[Gesamt LC],0)," ")</f>
        <v xml:space="preserve"> </v>
      </c>
      <c r="AH27" s="15">
        <f>MAX( Z27,AF27)</f>
        <v>0</v>
      </c>
      <c r="AI27" s="11"/>
      <c r="AJ27" s="5" t="str">
        <f>IF(Table13[[#This Row],[Zeit BZF]]&gt;0,_xlfn.RANK.EQ(Table13[[#This Row],[Punkte BZF]],Table13[Punkte BZF],0)," ")</f>
        <v xml:space="preserve"> </v>
      </c>
      <c r="AK27" s="9">
        <f>IF(Table13[[#This Row],[Zeit BZF]]&gt;0,MIN(Table13[Zeit BZF])/Table13[[#This Row],[Zeit BZF]]*1000,0)</f>
        <v>0</v>
      </c>
      <c r="AL27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7" s="9">
        <f>(Table13[[#This Row],[Punkte BZF]]+Table13[[#This Row],[Bonus BZF]])</f>
        <v>0</v>
      </c>
      <c r="AN27" s="12" t="str">
        <f>IF(Table13[[#This Row],[Zeit BZF]]&gt;0,_xlfn.RANK.EQ(Table13[[#This Row],[Gesamt BZF]],Table13[Gesamt BZF],0)," ")</f>
        <v xml:space="preserve"> </v>
      </c>
      <c r="AO27" s="11">
        <v>1.9884259259259258E-2</v>
      </c>
      <c r="AP27" s="5">
        <f>IF(Table13[[#This Row],[Zeit EZF]]&gt;0,_xlfn.RANK.EQ(Table13[[#This Row],[Punkte EZF]],Table13[Punkte EZF],0)," ")</f>
        <v>4</v>
      </c>
      <c r="AQ27" s="9">
        <f>IF(Table13[[#This Row],[Zeit EZF]]&gt;0,MIN(Table13[Zeit EZF])/Table13[[#This Row],[Zeit EZF]]*1000,0)</f>
        <v>973.22467986030279</v>
      </c>
      <c r="AR27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7" s="9">
        <f>(Table13[[#This Row],[Punkte EZF]]+Table13[[#This Row],[Bonus EZF]])</f>
        <v>973.22467986030279</v>
      </c>
      <c r="AT27" s="12">
        <f>IF(Table13[[#This Row],[Zeit EZF]]&gt;0,_xlfn.RANK.EQ(Table13[[#This Row],[Gesamt EZF]],Table13[Gesamt EZF],0)," ")</f>
        <v>5</v>
      </c>
      <c r="AU27" s="17">
        <f t="shared" si="0"/>
        <v>973.22467986030279</v>
      </c>
    </row>
    <row r="28" spans="1:47" x14ac:dyDescent="0.25">
      <c r="A28" s="1" t="s">
        <v>120</v>
      </c>
      <c r="B28" s="1" t="s">
        <v>95</v>
      </c>
      <c r="C28" s="4"/>
      <c r="D28" s="4">
        <v>1999</v>
      </c>
      <c r="E28" s="4">
        <f>IF(Table13[[#This Row],[JG]],2026-Table13[[#This Row],[JG]],0)</f>
        <v>27</v>
      </c>
      <c r="F28" s="4"/>
      <c r="G28" s="26">
        <f>SUM(U28, AH28, AU28)</f>
        <v>970.0961196155215</v>
      </c>
      <c r="H28" s="24">
        <f>_xlfn.RANK.EQ(Table13[[#This Row],[Gesamtpunkte]],Table13[Gesamtpunkte],0)</f>
        <v>26</v>
      </c>
      <c r="I28" s="8"/>
      <c r="J28" s="4" t="str">
        <f>IF(Table13[[#This Row],[Zeit LSC]]&gt;0,_xlfn.RANK.EQ(Table13[[#This Row],[Punkte LSC]],Table13[Punkte LSC],0)," ")</f>
        <v xml:space="preserve"> </v>
      </c>
      <c r="K28" s="6">
        <f>IF(Table13[[#This Row],[Zeit LSC]]&gt;0,MIN(Table13[Zeit LSC])/Table13[[#This Row],[Zeit LSC]]*1000,0)</f>
        <v>0</v>
      </c>
      <c r="L28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8" s="6">
        <f>(Table13[[#This Row],[Punkte LSC]]+Table13[[#This Row],[Bonus LSC]])</f>
        <v>0</v>
      </c>
      <c r="N28" s="12" t="str">
        <f>IF(Table13[[#This Row],[Zeit LSC]]&gt;0,_xlfn.RANK.EQ(Table13[[#This Row],[Gesamt LSC]],Table13[Gesamt LSC],0)," ")</f>
        <v xml:space="preserve"> </v>
      </c>
      <c r="O28" s="8"/>
      <c r="P28" s="4" t="str">
        <f>IF(Table13[[#This Row],[Zeit LKC]]&gt;0,_xlfn.RANK.EQ(Table13[[#This Row],[Punkte LKC]],Table13[Punkte LKC],0)," ")</f>
        <v xml:space="preserve"> </v>
      </c>
      <c r="Q28" s="6">
        <f>IF(Table13[[#This Row],[Zeit LKC]]&gt;0,MIN(Table13[Zeit LKC])/Table13[[#This Row],[Zeit LKC]]*1000,0)</f>
        <v>0</v>
      </c>
      <c r="R28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8" s="6">
        <f>(Table13[[#This Row],[Punkte LKC]]+Table13[[#This Row],[Bonus LKC]])</f>
        <v>0</v>
      </c>
      <c r="T28" s="12" t="str">
        <f>IF(Table13[[#This Row],[Zeit LKC]]&gt;0,_xlfn.RANK.EQ(Table13[[#This Row],[Gesamt LKC]],Table13[Gesamt LKC],0)," ")</f>
        <v xml:space="preserve"> </v>
      </c>
      <c r="U28" s="15">
        <f>MAX( S28,M28)</f>
        <v>0</v>
      </c>
      <c r="V28" s="8">
        <v>3.2511574074074075E-2</v>
      </c>
      <c r="W28" s="5">
        <f>IF(Table13[[#This Row],[Zeit S&amp;R]]&gt;0,_xlfn.RANK.EQ(Table13[[#This Row],[Punkte S&amp;R]],Table13[Punkte S&amp;R],0)," ")</f>
        <v>4</v>
      </c>
      <c r="X28" s="6">
        <f>IF(Table13[[#This Row],[Zeit S&amp;R]]&gt;0,MIN(Table13[Zeit S&amp;R])/Table13[[#This Row],[Zeit S&amp;R]]*1000,0)</f>
        <v>970.0961196155215</v>
      </c>
      <c r="Y28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8" s="6">
        <f>(Table13[[#This Row],[Punkte S&amp;R]]+Table13[[#This Row],[Bonus S&amp;R]])</f>
        <v>970.0961196155215</v>
      </c>
      <c r="AA28" s="12">
        <f>IF(Table13[[#This Row],[Zeit S&amp;R]]&gt;0,_xlfn.RANK.EQ(Table13[[#This Row],[Gesamt S&amp;R]],Table13[Gesamt S&amp;R],0)," ")</f>
        <v>4</v>
      </c>
      <c r="AB28" s="6"/>
      <c r="AC28" s="12" t="str">
        <f>IF(Table13[[#This Row],[Zeit LC]]&gt;0,_xlfn.RANK.EQ(Table13[[#This Row],[Punkte LC]],Table13[Punkte LC],0)," ")</f>
        <v xml:space="preserve"> </v>
      </c>
      <c r="AD28" s="6">
        <f>IF(Table13[[#This Row],[Zeit LC]]&gt;0,MIN(Table13[Zeit LC])/Table13[[#This Row],[Zeit LC]]*1000,0)</f>
        <v>0</v>
      </c>
      <c r="AE28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8" s="6">
        <f>(Table13[[#This Row],[Punkte LC]]+Table13[[#This Row],[Bonus LC]])</f>
        <v>0</v>
      </c>
      <c r="AG28" s="12" t="str">
        <f>IF(Table13[[#This Row],[Zeit LC]]&gt;0,_xlfn.RANK.EQ(Table13[[#This Row],[Gesamt LC]],Table13[Gesamt LC],0)," ")</f>
        <v xml:space="preserve"> </v>
      </c>
      <c r="AH28" s="15">
        <f>MAX( Z28,AF28)</f>
        <v>970.0961196155215</v>
      </c>
      <c r="AI28" s="8"/>
      <c r="AJ28" s="5" t="str">
        <f>IF(Table13[[#This Row],[Zeit BZF]]&gt;0,_xlfn.RANK.EQ(Table13[[#This Row],[Punkte BZF]],Table13[Punkte BZF],0)," ")</f>
        <v xml:space="preserve"> </v>
      </c>
      <c r="AK28" s="9">
        <f>IF(Table13[[#This Row],[Zeit BZF]]&gt;0,MIN(Table13[Zeit BZF])/Table13[[#This Row],[Zeit BZF]]*1000,0)</f>
        <v>0</v>
      </c>
      <c r="AL28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8" s="6">
        <f>(Table13[[#This Row],[Punkte BZF]]+Table13[[#This Row],[Bonus BZF]])</f>
        <v>0</v>
      </c>
      <c r="AN28" s="12" t="str">
        <f>IF(Table13[[#This Row],[Zeit BZF]]&gt;0,_xlfn.RANK.EQ(Table13[[#This Row],[Gesamt BZF]],Table13[Gesamt BZF],0)," ")</f>
        <v xml:space="preserve"> </v>
      </c>
      <c r="AO28" s="8"/>
      <c r="AP28" s="5" t="str">
        <f>IF(Table13[[#This Row],[Zeit EZF]]&gt;0,_xlfn.RANK.EQ(Table13[[#This Row],[Punkte EZF]],Table13[Punkte EZF],0)," ")</f>
        <v xml:space="preserve"> </v>
      </c>
      <c r="AQ28" s="9">
        <f>IF(Table13[[#This Row],[Zeit EZF]]&gt;0,MIN(Table13[Zeit EZF])/Table13[[#This Row],[Zeit EZF]]*1000,0)</f>
        <v>0</v>
      </c>
      <c r="AR28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8" s="6">
        <f>(Table13[[#This Row],[Punkte EZF]]+Table13[[#This Row],[Bonus EZF]])</f>
        <v>0</v>
      </c>
      <c r="AT28" s="12" t="str">
        <f>IF(Table13[[#This Row],[Zeit EZF]]&gt;0,_xlfn.RANK.EQ(Table13[[#This Row],[Gesamt EZF]],Table13[Gesamt EZF],0)," ")</f>
        <v xml:space="preserve"> </v>
      </c>
      <c r="AU28" s="17">
        <f t="shared" si="0"/>
        <v>0</v>
      </c>
    </row>
    <row r="29" spans="1:47" x14ac:dyDescent="0.25">
      <c r="A29" s="1" t="s">
        <v>133</v>
      </c>
      <c r="B29" s="1" t="s">
        <v>134</v>
      </c>
      <c r="C29" s="5"/>
      <c r="D29" s="5">
        <v>1994</v>
      </c>
      <c r="E29" s="5">
        <f>IF(Table13[[#This Row],[JG]],2026-Table13[[#This Row],[JG]],0)</f>
        <v>32</v>
      </c>
      <c r="F29" s="5"/>
      <c r="G29" s="26">
        <f>SUM(U29, AH29, AU29)</f>
        <v>960.5216778286923</v>
      </c>
      <c r="H29" s="24">
        <f>_xlfn.RANK.EQ(Table13[[#This Row],[Gesamtpunkte]],Table13[Gesamtpunkte],0)</f>
        <v>27</v>
      </c>
      <c r="I29" s="19"/>
      <c r="J29" s="20" t="str">
        <f>IF(Table13[[#This Row],[Zeit LSC]]&gt;0,_xlfn.RANK.EQ(Table13[[#This Row],[Punkte LSC]],Table13[Punkte LSC],0)," ")</f>
        <v xml:space="preserve"> </v>
      </c>
      <c r="K29" s="21">
        <f>IF(Table13[[#This Row],[Zeit LSC]]&gt;0,MIN(Table13[Zeit LSC])/Table13[[#This Row],[Zeit LSC]]*1000,0)</f>
        <v>0</v>
      </c>
      <c r="L29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29" s="21">
        <f>(Table13[[#This Row],[Punkte LSC]]+Table13[[#This Row],[Bonus LSC]])</f>
        <v>0</v>
      </c>
      <c r="N29" s="23" t="str">
        <f>IF(Table13[[#This Row],[Zeit LSC]]&gt;0,_xlfn.RANK.EQ(Table13[[#This Row],[Gesamt LSC]],Table13[Gesamt LSC],0)," ")</f>
        <v xml:space="preserve"> </v>
      </c>
      <c r="O29" s="5"/>
      <c r="P29" s="5" t="str">
        <f>IF(Table13[[#This Row],[Zeit LKC]]&gt;0,_xlfn.RANK.EQ(Table13[[#This Row],[Punkte LKC]],Table13[Punkte LKC],0)," ")</f>
        <v xml:space="preserve"> </v>
      </c>
      <c r="Q29" s="6">
        <f>IF(Table13[[#This Row],[Zeit LKC]]&gt;0,MIN(Table13[Zeit LKC])/Table13[[#This Row],[Zeit LKC]]*1000,0)</f>
        <v>0</v>
      </c>
      <c r="R29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29" s="9">
        <f>(Table13[[#This Row],[Punkte LKC]]+Table13[[#This Row],[Bonus LKC]])</f>
        <v>0</v>
      </c>
      <c r="T29" s="13" t="str">
        <f>IF(Table13[[#This Row],[Zeit LKC]]&gt;0,_xlfn.RANK.EQ(Table13[[#This Row],[Gesamt LKC]],Table13[Gesamt LKC],0)," ")</f>
        <v xml:space="preserve"> </v>
      </c>
      <c r="U29" s="15">
        <f>MAX( S29,M29)</f>
        <v>0</v>
      </c>
      <c r="V29" s="11">
        <v>3.2835648148148149E-2</v>
      </c>
      <c r="W29" s="5">
        <f>IF(Table13[[#This Row],[Zeit S&amp;R]]&gt;0,_xlfn.RANK.EQ(Table13[[#This Row],[Punkte S&amp;R]],Table13[Punkte S&amp;R],0)," ")</f>
        <v>5</v>
      </c>
      <c r="X29" s="9">
        <f>IF(Table13[[#This Row],[Zeit S&amp;R]]&gt;0,MIN(Table13[Zeit S&amp;R])/Table13[[#This Row],[Zeit S&amp;R]]*1000,0)</f>
        <v>960.5216778286923</v>
      </c>
      <c r="Y29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29" s="9">
        <f>(Table13[[#This Row],[Punkte S&amp;R]]+Table13[[#This Row],[Bonus S&amp;R]])</f>
        <v>960.5216778286923</v>
      </c>
      <c r="AA29" s="13">
        <f>IF(Table13[[#This Row],[Zeit S&amp;R]]&gt;0,_xlfn.RANK.EQ(Table13[[#This Row],[Gesamt S&amp;R]],Table13[Gesamt S&amp;R],0)," ")</f>
        <v>5</v>
      </c>
      <c r="AB29" s="11"/>
      <c r="AC29" s="13" t="str">
        <f>IF(Table13[[#This Row],[Zeit LC]]&gt;0,_xlfn.RANK.EQ(Table13[[#This Row],[Punkte LC]],Table13[Punkte LC],0)," ")</f>
        <v xml:space="preserve"> </v>
      </c>
      <c r="AD29" s="9">
        <f>IF(Table13[[#This Row],[Zeit LC]]&gt;0,MIN(Table13[Zeit LC])/Table13[[#This Row],[Zeit LC]]*1000,0)</f>
        <v>0</v>
      </c>
      <c r="AE29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29" s="9">
        <f>(Table13[[#This Row],[Punkte LC]]+Table13[[#This Row],[Bonus LC]])</f>
        <v>0</v>
      </c>
      <c r="AG29" s="13" t="str">
        <f>IF(Table13[[#This Row],[Zeit LC]]&gt;0,_xlfn.RANK.EQ(Table13[[#This Row],[Gesamt LC]],Table13[Gesamt LC],0)," ")</f>
        <v xml:space="preserve"> </v>
      </c>
      <c r="AH29" s="15">
        <f>MAX( Z29,AF29)</f>
        <v>960.5216778286923</v>
      </c>
      <c r="AI29" s="11"/>
      <c r="AJ29" s="5" t="str">
        <f>IF(Table13[[#This Row],[Zeit BZF]]&gt;0,_xlfn.RANK.EQ(Table13[[#This Row],[Punkte BZF]],Table13[Punkte BZF],0)," ")</f>
        <v xml:space="preserve"> </v>
      </c>
      <c r="AK29" s="9">
        <f>IF(Table13[[#This Row],[Zeit BZF]]&gt;0,MIN(Table13[Zeit BZF])/Table13[[#This Row],[Zeit BZF]]*1000,0)</f>
        <v>0</v>
      </c>
      <c r="AL29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29" s="9">
        <f>(Table13[[#This Row],[Punkte BZF]]+Table13[[#This Row],[Bonus BZF]])</f>
        <v>0</v>
      </c>
      <c r="AN29" s="13" t="str">
        <f>IF(Table13[[#This Row],[Zeit BZF]]&gt;0,_xlfn.RANK.EQ(Table13[[#This Row],[Gesamt BZF]],Table13[Gesamt BZF],0)," ")</f>
        <v xml:space="preserve"> </v>
      </c>
      <c r="AO29" s="11"/>
      <c r="AP29" s="5" t="str">
        <f>IF(Table13[[#This Row],[Zeit EZF]]&gt;0,_xlfn.RANK.EQ(Table13[[#This Row],[Punkte EZF]],Table13[Punkte EZF],0)," ")</f>
        <v xml:space="preserve"> </v>
      </c>
      <c r="AQ29" s="9">
        <f>IF(Table13[[#This Row],[Zeit EZF]]&gt;0,MIN(Table13[Zeit EZF])/Table13[[#This Row],[Zeit EZF]]*1000,0)</f>
        <v>0</v>
      </c>
      <c r="AR29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29" s="9">
        <f>(Table13[[#This Row],[Punkte EZF]]+Table13[[#This Row],[Bonus EZF]])</f>
        <v>0</v>
      </c>
      <c r="AT29" s="13" t="str">
        <f>IF(Table13[[#This Row],[Zeit EZF]]&gt;0,_xlfn.RANK.EQ(Table13[[#This Row],[Gesamt EZF]],Table13[Gesamt EZF],0)," ")</f>
        <v xml:space="preserve"> </v>
      </c>
      <c r="AU29" s="17">
        <f t="shared" si="0"/>
        <v>0</v>
      </c>
    </row>
    <row r="30" spans="1:47" x14ac:dyDescent="0.25">
      <c r="A30" s="1" t="s">
        <v>155</v>
      </c>
      <c r="B30" s="1" t="s">
        <v>156</v>
      </c>
      <c r="C30" s="5"/>
      <c r="D30" s="5">
        <v>1966</v>
      </c>
      <c r="E30" s="5">
        <f>IF(Table13[[#This Row],[JG]],2026-Table13[[#This Row],[JG]],0)</f>
        <v>60</v>
      </c>
      <c r="F30" s="5"/>
      <c r="G30" s="26">
        <f>SUM(U30, AH30, AU30)</f>
        <v>944.52947259565667</v>
      </c>
      <c r="H30" s="24">
        <f>_xlfn.RANK.EQ(Table13[[#This Row],[Gesamtpunkte]],Table13[Gesamtpunkte],0)</f>
        <v>28</v>
      </c>
      <c r="I30" s="19"/>
      <c r="J30" s="20" t="str">
        <f>IF(Table13[[#This Row],[Zeit LSC]]&gt;0,_xlfn.RANK.EQ(Table13[[#This Row],[Punkte LSC]],Table13[Punkte LSC],0)," ")</f>
        <v xml:space="preserve"> </v>
      </c>
      <c r="K30" s="21">
        <f>IF(Table13[[#This Row],[Zeit LSC]]&gt;0,MIN(Table13[Zeit LSC])/Table13[[#This Row],[Zeit LSC]]*1000,0)</f>
        <v>0</v>
      </c>
      <c r="L30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0" s="21">
        <f>(Table13[[#This Row],[Punkte LSC]]+Table13[[#This Row],[Bonus LSC]])</f>
        <v>0</v>
      </c>
      <c r="N30" s="23" t="str">
        <f>IF(Table13[[#This Row],[Zeit LSC]]&gt;0,_xlfn.RANK.EQ(Table13[[#This Row],[Gesamt LSC]],Table13[Gesamt LSC],0)," ")</f>
        <v xml:space="preserve"> </v>
      </c>
      <c r="O30" s="5"/>
      <c r="P30" s="5" t="str">
        <f>IF(Table13[[#This Row],[Zeit LKC]]&gt;0,_xlfn.RANK.EQ(Table13[[#This Row],[Punkte LKC]],Table13[Punkte LKC],0)," ")</f>
        <v xml:space="preserve"> </v>
      </c>
      <c r="Q30" s="6">
        <f>IF(Table13[[#This Row],[Zeit LKC]]&gt;0,MIN(Table13[Zeit LKC])/Table13[[#This Row],[Zeit LKC]]*1000,0)</f>
        <v>0</v>
      </c>
      <c r="R30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0" s="9">
        <f>(Table13[[#This Row],[Punkte LKC]]+Table13[[#This Row],[Bonus LKC]])</f>
        <v>0</v>
      </c>
      <c r="T30" s="13" t="str">
        <f>IF(Table13[[#This Row],[Zeit LKC]]&gt;0,_xlfn.RANK.EQ(Table13[[#This Row],[Gesamt LKC]],Table13[Gesamt LKC],0)," ")</f>
        <v xml:space="preserve"> </v>
      </c>
      <c r="U30" s="15">
        <f>MAX( S30,M30)</f>
        <v>0</v>
      </c>
      <c r="V30" s="11"/>
      <c r="W30" s="5" t="str">
        <f>IF(Table13[[#This Row],[Zeit S&amp;R]]&gt;0,_xlfn.RANK.EQ(Table13[[#This Row],[Punkte S&amp;R]],Table13[Punkte S&amp;R],0)," ")</f>
        <v xml:space="preserve"> </v>
      </c>
      <c r="X30" s="9">
        <f>IF(Table13[[#This Row],[Zeit S&amp;R]]&gt;0,MIN(Table13[Zeit S&amp;R])/Table13[[#This Row],[Zeit S&amp;R]]*1000,0)</f>
        <v>0</v>
      </c>
      <c r="Y30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0" s="9">
        <f>(Table13[[#This Row],[Punkte S&amp;R]]+Table13[[#This Row],[Bonus S&amp;R]])</f>
        <v>0</v>
      </c>
      <c r="AA30" s="13" t="str">
        <f>IF(Table13[[#This Row],[Zeit S&amp;R]]&gt;0,_xlfn.RANK.EQ(Table13[[#This Row],[Gesamt S&amp;R]],Table13[Gesamt S&amp;R],0)," ")</f>
        <v xml:space="preserve"> </v>
      </c>
      <c r="AB30" s="11"/>
      <c r="AC30" s="13" t="str">
        <f>IF(Table13[[#This Row],[Zeit LC]]&gt;0,_xlfn.RANK.EQ(Table13[[#This Row],[Punkte LC]],Table13[Punkte LC],0)," ")</f>
        <v xml:space="preserve"> </v>
      </c>
      <c r="AD30" s="9">
        <f>IF(Table13[[#This Row],[Zeit LC]]&gt;0,MIN(Table13[Zeit LC])/Table13[[#This Row],[Zeit LC]]*1000,0)</f>
        <v>0</v>
      </c>
      <c r="AE30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0" s="9">
        <f>(Table13[[#This Row],[Punkte LC]]+Table13[[#This Row],[Bonus LC]])</f>
        <v>0</v>
      </c>
      <c r="AG30" s="13" t="str">
        <f>IF(Table13[[#This Row],[Zeit LC]]&gt;0,_xlfn.RANK.EQ(Table13[[#This Row],[Gesamt LC]],Table13[Gesamt LC],0)," ")</f>
        <v xml:space="preserve"> </v>
      </c>
      <c r="AH30" s="15">
        <f>MAX( Z30,AF30)</f>
        <v>0</v>
      </c>
      <c r="AI30" s="11"/>
      <c r="AJ30" s="5" t="str">
        <f>IF(Table13[[#This Row],[Zeit BZF]]&gt;0,_xlfn.RANK.EQ(Table13[[#This Row],[Punkte BZF]],Table13[Punkte BZF],0)," ")</f>
        <v xml:space="preserve"> </v>
      </c>
      <c r="AK30" s="9">
        <f>IF(Table13[[#This Row],[Zeit BZF]]&gt;0,MIN(Table13[Zeit BZF])/Table13[[#This Row],[Zeit BZF]]*1000,0)</f>
        <v>0</v>
      </c>
      <c r="AL30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0" s="9">
        <f>(Table13[[#This Row],[Punkte BZF]]+Table13[[#This Row],[Bonus BZF]])</f>
        <v>0</v>
      </c>
      <c r="AN30" s="13" t="str">
        <f>IF(Table13[[#This Row],[Zeit BZF]]&gt;0,_xlfn.RANK.EQ(Table13[[#This Row],[Gesamt BZF]],Table13[Gesamt BZF],0)," ")</f>
        <v xml:space="preserve"> </v>
      </c>
      <c r="AO30" s="11">
        <v>2.238425925925926E-2</v>
      </c>
      <c r="AP30" s="5">
        <f>IF(Table13[[#This Row],[Zeit EZF]]&gt;0,_xlfn.RANK.EQ(Table13[[#This Row],[Punkte EZF]],Table13[Punkte EZF],0)," ")</f>
        <v>13</v>
      </c>
      <c r="AQ30" s="9">
        <f>IF(Table13[[#This Row],[Zeit EZF]]&gt;0,MIN(Table13[Zeit EZF])/Table13[[#This Row],[Zeit EZF]]*1000,0)</f>
        <v>864.52947259565667</v>
      </c>
      <c r="AR30" s="10">
        <f>IF(Table13[[#This Row],[Zeit EZF]]&gt;0,SUM(IF(Table13[[#This Row],[Alter]]&gt;40,(Table13[[#This Row],[Alter]]-40)*4,0),IF(AND(Table13[[#This Row],[Alter]]&lt;20,Table13[[#This Row],[Alter]]&gt;0),(20-Table13[[#This Row],[Alter]])*10,0)),0)</f>
        <v>80</v>
      </c>
      <c r="AS30" s="9">
        <f>(Table13[[#This Row],[Punkte EZF]]+Table13[[#This Row],[Bonus EZF]])</f>
        <v>944.52947259565667</v>
      </c>
      <c r="AT30" s="13">
        <f>IF(Table13[[#This Row],[Zeit EZF]]&gt;0,_xlfn.RANK.EQ(Table13[[#This Row],[Gesamt EZF]],Table13[Gesamt EZF],0)," ")</f>
        <v>6</v>
      </c>
      <c r="AU30" s="17">
        <f t="shared" ref="AU30" si="6">MAX( AM30,AS30)</f>
        <v>944.52947259565667</v>
      </c>
    </row>
    <row r="31" spans="1:47" x14ac:dyDescent="0.25">
      <c r="A31" s="1" t="s">
        <v>67</v>
      </c>
      <c r="B31" s="1" t="s">
        <v>68</v>
      </c>
      <c r="C31" s="4">
        <v>1</v>
      </c>
      <c r="D31" s="4">
        <v>1964</v>
      </c>
      <c r="E31" s="4">
        <f>IF(Table13[[#This Row],[JG]],2026-Table13[[#This Row],[JG]],0)</f>
        <v>62</v>
      </c>
      <c r="F31" s="4"/>
      <c r="G31" s="26">
        <f>SUM(U31, AH31, AU31)</f>
        <v>940.19164118246692</v>
      </c>
      <c r="H31" s="24">
        <f>_xlfn.RANK.EQ(Table13[[#This Row],[Gesamtpunkte]],Table13[Gesamtpunkte],0)</f>
        <v>29</v>
      </c>
      <c r="I31" s="8"/>
      <c r="J31" s="4" t="str">
        <f>IF(Table13[[#This Row],[Zeit LSC]]&gt;0,_xlfn.RANK.EQ(Table13[[#This Row],[Punkte LSC]],Table13[Punkte LSC],0)," ")</f>
        <v xml:space="preserve"> </v>
      </c>
      <c r="K31" s="6">
        <f>IF(Table13[[#This Row],[Zeit LSC]]&gt;0,MIN(Table13[Zeit LSC])/Table13[[#This Row],[Zeit LSC]]*1000,0)</f>
        <v>0</v>
      </c>
      <c r="L31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1" s="6">
        <f>(Table13[[#This Row],[Punkte LSC]]+Table13[[#This Row],[Bonus LSC]])</f>
        <v>0</v>
      </c>
      <c r="N31" s="12" t="str">
        <f>IF(Table13[[#This Row],[Zeit LSC]]&gt;0,_xlfn.RANK.EQ(Table13[[#This Row],[Gesamt LSC]],Table13[Gesamt LSC],0)," ")</f>
        <v xml:space="preserve"> </v>
      </c>
      <c r="O31" s="8"/>
      <c r="P31" s="4" t="str">
        <f>IF(Table13[[#This Row],[Zeit LKC]]&gt;0,_xlfn.RANK.EQ(Table13[[#This Row],[Punkte LKC]],Table13[Punkte LKC],0)," ")</f>
        <v xml:space="preserve"> </v>
      </c>
      <c r="Q31" s="6">
        <f>IF(Table13[[#This Row],[Zeit LKC]]&gt;0,MIN(Table13[Zeit LKC])/Table13[[#This Row],[Zeit LKC]]*1000,0)</f>
        <v>0</v>
      </c>
      <c r="R31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1" s="6">
        <f>(Table13[[#This Row],[Punkte LKC]]+Table13[[#This Row],[Bonus LKC]])</f>
        <v>0</v>
      </c>
      <c r="T31" s="12" t="str">
        <f>IF(Table13[[#This Row],[Zeit LKC]]&gt;0,_xlfn.RANK.EQ(Table13[[#This Row],[Gesamt LKC]],Table13[Gesamt LKC],0)," ")</f>
        <v xml:space="preserve"> </v>
      </c>
      <c r="U31" s="15">
        <f>MAX( S31,M31)</f>
        <v>0</v>
      </c>
      <c r="V31" s="8"/>
      <c r="W31" s="5" t="str">
        <f>IF(Table13[[#This Row],[Zeit S&amp;R]]&gt;0,_xlfn.RANK.EQ(Table13[[#This Row],[Punkte S&amp;R]],Table13[Punkte S&amp;R],0)," ")</f>
        <v xml:space="preserve"> </v>
      </c>
      <c r="X31" s="6">
        <f>IF(Table13[[#This Row],[Zeit S&amp;R]]&gt;0,MIN(Table13[Zeit S&amp;R])/Table13[[#This Row],[Zeit S&amp;R]]*1000,0)</f>
        <v>0</v>
      </c>
      <c r="Y31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1" s="6">
        <f>(Table13[[#This Row],[Punkte S&amp;R]]+Table13[[#This Row],[Bonus S&amp;R]])</f>
        <v>0</v>
      </c>
      <c r="AA31" s="12" t="str">
        <f>IF(Table13[[#This Row],[Zeit S&amp;R]]&gt;0,_xlfn.RANK.EQ(Table13[[#This Row],[Gesamt S&amp;R]],Table13[Gesamt S&amp;R],0)," ")</f>
        <v xml:space="preserve"> </v>
      </c>
      <c r="AB31" s="8"/>
      <c r="AC31" s="12" t="str">
        <f>IF(Table13[[#This Row],[Zeit LC]]&gt;0,_xlfn.RANK.EQ(Table13[[#This Row],[Punkte LC]],Table13[Punkte LC],0)," ")</f>
        <v xml:space="preserve"> </v>
      </c>
      <c r="AD31" s="6">
        <f>IF(Table13[[#This Row],[Zeit LC]]&gt;0,MIN(Table13[Zeit LC])/Table13[[#This Row],[Zeit LC]]*1000,0)</f>
        <v>0</v>
      </c>
      <c r="AE31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1" s="6">
        <f>(Table13[[#This Row],[Punkte LC]]+Table13[[#This Row],[Bonus LC]])</f>
        <v>0</v>
      </c>
      <c r="AG31" s="12" t="str">
        <f>IF(Table13[[#This Row],[Zeit LC]]&gt;0,_xlfn.RANK.EQ(Table13[[#This Row],[Gesamt LC]],Table13[Gesamt LC],0)," ")</f>
        <v xml:space="preserve"> </v>
      </c>
      <c r="AH31" s="15">
        <f>MAX( Z31,AF31)</f>
        <v>0</v>
      </c>
      <c r="AI31" s="8"/>
      <c r="AJ31" s="5" t="str">
        <f>IF(Table13[[#This Row],[Zeit BZF]]&gt;0,_xlfn.RANK.EQ(Table13[[#This Row],[Punkte BZF]],Table13[Punkte BZF],0)," ")</f>
        <v xml:space="preserve"> </v>
      </c>
      <c r="AK31" s="9">
        <f>IF(Table13[[#This Row],[Zeit BZF]]&gt;0,MIN(Table13[Zeit BZF])/Table13[[#This Row],[Zeit BZF]]*1000,0)</f>
        <v>0</v>
      </c>
      <c r="AL31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1" s="6">
        <f>(Table13[[#This Row],[Punkte BZF]]+Table13[[#This Row],[Bonus BZF]])</f>
        <v>0</v>
      </c>
      <c r="AN31" s="12" t="str">
        <f>IF(Table13[[#This Row],[Zeit BZF]]&gt;0,_xlfn.RANK.EQ(Table13[[#This Row],[Gesamt BZF]],Table13[Gesamt BZF],0)," ")</f>
        <v xml:space="preserve"> </v>
      </c>
      <c r="AO31" s="8">
        <v>2.2708333333333334E-2</v>
      </c>
      <c r="AP31" s="5">
        <f>IF(Table13[[#This Row],[Zeit EZF]]&gt;0,_xlfn.RANK.EQ(Table13[[#This Row],[Punkte EZF]],Table13[Punkte EZF],0)," ")</f>
        <v>18</v>
      </c>
      <c r="AQ31" s="9">
        <f>IF(Table13[[#This Row],[Zeit EZF]]&gt;0,MIN(Table13[Zeit EZF])/Table13[[#This Row],[Zeit EZF]]*1000,0)</f>
        <v>852.19164118246692</v>
      </c>
      <c r="AR31" s="7">
        <f>IF(Table13[[#This Row],[Zeit EZF]]&gt;0,SUM(IF(Table13[[#This Row],[Alter]]&gt;40,(Table13[[#This Row],[Alter]]-40)*4,0),IF(AND(Table13[[#This Row],[Alter]]&lt;20,Table13[[#This Row],[Alter]]&gt;0),(20-Table13[[#This Row],[Alter]])*10,0)),0)</f>
        <v>88</v>
      </c>
      <c r="AS31" s="6">
        <f>(Table13[[#This Row],[Punkte EZF]]+Table13[[#This Row],[Bonus EZF]])</f>
        <v>940.19164118246692</v>
      </c>
      <c r="AT31" s="12">
        <f>IF(Table13[[#This Row],[Zeit EZF]]&gt;0,_xlfn.RANK.EQ(Table13[[#This Row],[Gesamt EZF]],Table13[Gesamt EZF],0)," ")</f>
        <v>7</v>
      </c>
      <c r="AU31" s="17">
        <f t="shared" si="0"/>
        <v>940.19164118246692</v>
      </c>
    </row>
    <row r="32" spans="1:47" x14ac:dyDescent="0.25">
      <c r="A32" s="1" t="s">
        <v>85</v>
      </c>
      <c r="B32" s="1" t="s">
        <v>58</v>
      </c>
      <c r="C32" s="4"/>
      <c r="D32" s="4">
        <v>1978</v>
      </c>
      <c r="E32" s="4">
        <f>IF(Table13[[#This Row],[JG]],2026-Table13[[#This Row],[JG]],0)</f>
        <v>48</v>
      </c>
      <c r="F32" s="4"/>
      <c r="G32" s="26">
        <f>SUM(U32, AH32, AU32)</f>
        <v>919.91137178233953</v>
      </c>
      <c r="H32" s="24">
        <f>_xlfn.RANK.EQ(Table13[[#This Row],[Gesamtpunkte]],Table13[Gesamtpunkte],0)</f>
        <v>30</v>
      </c>
      <c r="I32" s="8"/>
      <c r="J32" s="4" t="str">
        <f>IF(Table13[[#This Row],[Zeit LSC]]&gt;0,_xlfn.RANK.EQ(Table13[[#This Row],[Punkte LSC]],Table13[Punkte LSC],0)," ")</f>
        <v xml:space="preserve"> </v>
      </c>
      <c r="K32" s="6">
        <f>IF(Table13[[#This Row],[Zeit LSC]]&gt;0,MIN(Table13[Zeit LSC])/Table13[[#This Row],[Zeit LSC]]*1000,0)</f>
        <v>0</v>
      </c>
      <c r="L32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2" s="6">
        <f>(Table13[[#This Row],[Punkte LSC]]+Table13[[#This Row],[Bonus LSC]])</f>
        <v>0</v>
      </c>
      <c r="N32" s="12" t="str">
        <f>IF(Table13[[#This Row],[Zeit LSC]]&gt;0,_xlfn.RANK.EQ(Table13[[#This Row],[Gesamt LSC]],Table13[Gesamt LSC],0)," ")</f>
        <v xml:space="preserve"> </v>
      </c>
      <c r="O32" s="8"/>
      <c r="P32" s="4" t="str">
        <f>IF(Table13[[#This Row],[Zeit LKC]]&gt;0,_xlfn.RANK.EQ(Table13[[#This Row],[Punkte LKC]],Table13[Punkte LKC],0)," ")</f>
        <v xml:space="preserve"> </v>
      </c>
      <c r="Q32" s="6">
        <f>IF(Table13[[#This Row],[Zeit LKC]]&gt;0,MIN(Table13[Zeit LKC])/Table13[[#This Row],[Zeit LKC]]*1000,0)</f>
        <v>0</v>
      </c>
      <c r="R32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2" s="6">
        <f>(Table13[[#This Row],[Punkte LKC]]+Table13[[#This Row],[Bonus LKC]])</f>
        <v>0</v>
      </c>
      <c r="T32" s="12" t="str">
        <f>IF(Table13[[#This Row],[Zeit LKC]]&gt;0,_xlfn.RANK.EQ(Table13[[#This Row],[Gesamt LKC]],Table13[Gesamt LKC],0)," ")</f>
        <v xml:space="preserve"> </v>
      </c>
      <c r="U32" s="15">
        <f>MAX( S32,M32)</f>
        <v>0</v>
      </c>
      <c r="V32" s="8">
        <v>3.5520833333333335E-2</v>
      </c>
      <c r="W32" s="5">
        <f>IF(Table13[[#This Row],[Zeit S&amp;R]]&gt;0,_xlfn.RANK.EQ(Table13[[#This Row],[Punkte S&amp;R]],Table13[Punkte S&amp;R],0)," ")</f>
        <v>12</v>
      </c>
      <c r="X32" s="6">
        <f>IF(Table13[[#This Row],[Zeit S&amp;R]]&gt;0,MIN(Table13[Zeit S&amp;R])/Table13[[#This Row],[Zeit S&amp;R]]*1000,0)</f>
        <v>887.91137178233953</v>
      </c>
      <c r="Y32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32</v>
      </c>
      <c r="Z32" s="6">
        <f>(Table13[[#This Row],[Punkte S&amp;R]]+Table13[[#This Row],[Bonus S&amp;R]])</f>
        <v>919.91137178233953</v>
      </c>
      <c r="AA32" s="12">
        <f>IF(Table13[[#This Row],[Zeit S&amp;R]]&gt;0,_xlfn.RANK.EQ(Table13[[#This Row],[Gesamt S&amp;R]],Table13[Gesamt S&amp;R],0)," ")</f>
        <v>9</v>
      </c>
      <c r="AB32" s="8"/>
      <c r="AC32" s="12" t="str">
        <f>IF(Table13[[#This Row],[Zeit LC]]&gt;0,_xlfn.RANK.EQ(Table13[[#This Row],[Punkte LC]],Table13[Punkte LC],0)," ")</f>
        <v xml:space="preserve"> </v>
      </c>
      <c r="AD32" s="6">
        <f>IF(Table13[[#This Row],[Zeit LC]]&gt;0,MIN(Table13[Zeit LC])/Table13[[#This Row],[Zeit LC]]*1000,0)</f>
        <v>0</v>
      </c>
      <c r="AE32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2" s="6">
        <f>(Table13[[#This Row],[Punkte LC]]+Table13[[#This Row],[Bonus LC]])</f>
        <v>0</v>
      </c>
      <c r="AG32" s="12" t="str">
        <f>IF(Table13[[#This Row],[Zeit LC]]&gt;0,_xlfn.RANK.EQ(Table13[[#This Row],[Gesamt LC]],Table13[Gesamt LC],0)," ")</f>
        <v xml:space="preserve"> </v>
      </c>
      <c r="AH32" s="15">
        <f>MAX( Z32,AF32)</f>
        <v>919.91137178233953</v>
      </c>
      <c r="AI32" s="8"/>
      <c r="AJ32" s="5" t="str">
        <f>IF(Table13[[#This Row],[Zeit BZF]]&gt;0,_xlfn.RANK.EQ(Table13[[#This Row],[Punkte BZF]],Table13[Punkte BZF],0)," ")</f>
        <v xml:space="preserve"> </v>
      </c>
      <c r="AK32" s="9">
        <f>IF(Table13[[#This Row],[Zeit BZF]]&gt;0,MIN(Table13[Zeit BZF])/Table13[[#This Row],[Zeit BZF]]*1000,0)</f>
        <v>0</v>
      </c>
      <c r="AL32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2" s="6">
        <f>(Table13[[#This Row],[Punkte BZF]]+Table13[[#This Row],[Bonus BZF]])</f>
        <v>0</v>
      </c>
      <c r="AN32" s="12" t="str">
        <f>IF(Table13[[#This Row],[Zeit BZF]]&gt;0,_xlfn.RANK.EQ(Table13[[#This Row],[Gesamt BZF]],Table13[Gesamt BZF],0)," ")</f>
        <v xml:space="preserve"> </v>
      </c>
      <c r="AO32" s="8"/>
      <c r="AP32" s="5" t="str">
        <f>IF(Table13[[#This Row],[Zeit EZF]]&gt;0,_xlfn.RANK.EQ(Table13[[#This Row],[Punkte EZF]],Table13[Punkte EZF],0)," ")</f>
        <v xml:space="preserve"> </v>
      </c>
      <c r="AQ32" s="9">
        <f>IF(Table13[[#This Row],[Zeit EZF]]&gt;0,MIN(Table13[Zeit EZF])/Table13[[#This Row],[Zeit EZF]]*1000,0)</f>
        <v>0</v>
      </c>
      <c r="AR32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2" s="6">
        <f>(Table13[[#This Row],[Punkte EZF]]+Table13[[#This Row],[Bonus EZF]])</f>
        <v>0</v>
      </c>
      <c r="AT32" s="12" t="str">
        <f>IF(Table13[[#This Row],[Zeit EZF]]&gt;0,_xlfn.RANK.EQ(Table13[[#This Row],[Gesamt EZF]],Table13[Gesamt EZF],0)," ")</f>
        <v xml:space="preserve"> </v>
      </c>
      <c r="AU32" s="17">
        <f t="shared" si="0"/>
        <v>0</v>
      </c>
    </row>
    <row r="33" spans="1:47" x14ac:dyDescent="0.25">
      <c r="A33" s="1" t="s">
        <v>157</v>
      </c>
      <c r="B33" s="1" t="s">
        <v>60</v>
      </c>
      <c r="C33" s="4">
        <v>1</v>
      </c>
      <c r="D33" s="4">
        <v>1995</v>
      </c>
      <c r="E33" s="4">
        <f>IF(Table13[[#This Row],[JG]],2026-Table13[[#This Row],[JG]],0)</f>
        <v>31</v>
      </c>
      <c r="F33" s="4"/>
      <c r="G33" s="26">
        <f>SUM(U33, AH33, AU33)</f>
        <v>907.70901194353974</v>
      </c>
      <c r="H33" s="24">
        <f>_xlfn.RANK.EQ(Table13[[#This Row],[Gesamtpunkte]],Table13[Gesamtpunkte],0)</f>
        <v>31</v>
      </c>
      <c r="I33" s="8"/>
      <c r="J33" s="4" t="str">
        <f>IF(Table13[[#This Row],[Zeit LSC]]&gt;0,_xlfn.RANK.EQ(Table13[[#This Row],[Punkte LSC]],Table13[Punkte LSC],0)," ")</f>
        <v xml:space="preserve"> </v>
      </c>
      <c r="K33" s="6">
        <f>IF(Table13[[#This Row],[Zeit LSC]]&gt;0,MIN(Table13[Zeit LSC])/Table13[[#This Row],[Zeit LSC]]*1000,0)</f>
        <v>0</v>
      </c>
      <c r="L33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3" s="6">
        <f>(Table13[[#This Row],[Punkte LSC]]+Table13[[#This Row],[Bonus LSC]])</f>
        <v>0</v>
      </c>
      <c r="N33" s="12" t="str">
        <f>IF(Table13[[#This Row],[Zeit LSC]]&gt;0,_xlfn.RANK.EQ(Table13[[#This Row],[Gesamt LSC]],Table13[Gesamt LSC],0)," ")</f>
        <v xml:space="preserve"> </v>
      </c>
      <c r="O33" s="8"/>
      <c r="P33" s="4" t="str">
        <f>IF(Table13[[#This Row],[Zeit LKC]]&gt;0,_xlfn.RANK.EQ(Table13[[#This Row],[Punkte LKC]],Table13[Punkte LKC],0)," ")</f>
        <v xml:space="preserve"> </v>
      </c>
      <c r="Q33" s="6">
        <f>IF(Table13[[#This Row],[Zeit LKC]]&gt;0,MIN(Table13[Zeit LKC])/Table13[[#This Row],[Zeit LKC]]*1000,0)</f>
        <v>0</v>
      </c>
      <c r="R33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3" s="6">
        <f>(Table13[[#This Row],[Punkte LKC]]+Table13[[#This Row],[Bonus LKC]])</f>
        <v>0</v>
      </c>
      <c r="T33" s="12" t="str">
        <f>IF(Table13[[#This Row],[Zeit LKC]]&gt;0,_xlfn.RANK.EQ(Table13[[#This Row],[Gesamt LKC]],Table13[Gesamt LKC],0)," ")</f>
        <v xml:space="preserve"> </v>
      </c>
      <c r="U33" s="15">
        <f>MAX( S33,M33)</f>
        <v>0</v>
      </c>
      <c r="V33" s="8"/>
      <c r="W33" s="5" t="str">
        <f>IF(Table13[[#This Row],[Zeit S&amp;R]]&gt;0,_xlfn.RANK.EQ(Table13[[#This Row],[Punkte S&amp;R]],Table13[Punkte S&amp;R],0)," ")</f>
        <v xml:space="preserve"> </v>
      </c>
      <c r="X33" s="6">
        <f>IF(Table13[[#This Row],[Zeit S&amp;R]]&gt;0,MIN(Table13[Zeit S&amp;R])/Table13[[#This Row],[Zeit S&amp;R]]*1000,0)</f>
        <v>0</v>
      </c>
      <c r="Y33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3" s="6">
        <f>(Table13[[#This Row],[Punkte S&amp;R]]+Table13[[#This Row],[Bonus S&amp;R]])</f>
        <v>0</v>
      </c>
      <c r="AA33" s="12" t="str">
        <f>IF(Table13[[#This Row],[Zeit S&amp;R]]&gt;0,_xlfn.RANK.EQ(Table13[[#This Row],[Gesamt S&amp;R]],Table13[Gesamt S&amp;R],0)," ")</f>
        <v xml:space="preserve"> </v>
      </c>
      <c r="AB33" s="8"/>
      <c r="AC33" s="12" t="str">
        <f>IF(Table13[[#This Row],[Zeit LC]]&gt;0,_xlfn.RANK.EQ(Table13[[#This Row],[Punkte LC]],Table13[Punkte LC],0)," ")</f>
        <v xml:space="preserve"> </v>
      </c>
      <c r="AD33" s="6">
        <f>IF(Table13[[#This Row],[Zeit LC]]&gt;0,MIN(Table13[Zeit LC])/Table13[[#This Row],[Zeit LC]]*1000,0)</f>
        <v>0</v>
      </c>
      <c r="AE33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3" s="6">
        <f>(Table13[[#This Row],[Punkte LC]]+Table13[[#This Row],[Bonus LC]])</f>
        <v>0</v>
      </c>
      <c r="AG33" s="12" t="str">
        <f>IF(Table13[[#This Row],[Zeit LC]]&gt;0,_xlfn.RANK.EQ(Table13[[#This Row],[Gesamt LC]],Table13[Gesamt LC],0)," ")</f>
        <v xml:space="preserve"> </v>
      </c>
      <c r="AH33" s="15">
        <f>MAX( Z33,AF33)</f>
        <v>0</v>
      </c>
      <c r="AI33" s="8"/>
      <c r="AJ33" s="5" t="str">
        <f>IF(Table13[[#This Row],[Zeit BZF]]&gt;0,_xlfn.RANK.EQ(Table13[[#This Row],[Punkte BZF]],Table13[Punkte BZF],0)," ")</f>
        <v xml:space="preserve"> </v>
      </c>
      <c r="AK33" s="9">
        <f>IF(Table13[[#This Row],[Zeit BZF]]&gt;0,MIN(Table13[Zeit BZF])/Table13[[#This Row],[Zeit BZF]]*1000,0)</f>
        <v>0</v>
      </c>
      <c r="AL33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3" s="6">
        <f>(Table13[[#This Row],[Punkte BZF]]+Table13[[#This Row],[Bonus BZF]])</f>
        <v>0</v>
      </c>
      <c r="AN33" s="12" t="str">
        <f>IF(Table13[[#This Row],[Zeit BZF]]&gt;0,_xlfn.RANK.EQ(Table13[[#This Row],[Gesamt BZF]],Table13[Gesamt BZF],0)," ")</f>
        <v xml:space="preserve"> </v>
      </c>
      <c r="AO33" s="8">
        <v>2.1319444444444443E-2</v>
      </c>
      <c r="AP33" s="5">
        <f>IF(Table13[[#This Row],[Zeit EZF]]&gt;0,_xlfn.RANK.EQ(Table13[[#This Row],[Punkte EZF]],Table13[Punkte EZF],0)," ")</f>
        <v>9</v>
      </c>
      <c r="AQ33" s="9">
        <f>IF(Table13[[#This Row],[Zeit EZF]]&gt;0,MIN(Table13[Zeit EZF])/Table13[[#This Row],[Zeit EZF]]*1000,0)</f>
        <v>907.70901194353974</v>
      </c>
      <c r="AR33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3" s="6">
        <f>(Table13[[#This Row],[Punkte EZF]]+Table13[[#This Row],[Bonus EZF]])</f>
        <v>907.70901194353974</v>
      </c>
      <c r="AT33" s="12">
        <f>IF(Table13[[#This Row],[Zeit EZF]]&gt;0,_xlfn.RANK.EQ(Table13[[#This Row],[Gesamt EZF]],Table13[Gesamt EZF],0)," ")</f>
        <v>11</v>
      </c>
      <c r="AU33" s="17">
        <f t="shared" ref="AU33" si="7">MAX( AM33,AS33)</f>
        <v>907.70901194353974</v>
      </c>
    </row>
    <row r="34" spans="1:47" x14ac:dyDescent="0.25">
      <c r="A34" s="1" t="s">
        <v>161</v>
      </c>
      <c r="B34" s="1" t="s">
        <v>162</v>
      </c>
      <c r="C34" s="5"/>
      <c r="D34" s="5">
        <v>2006</v>
      </c>
      <c r="E34" s="5">
        <f>IF(Table13[[#This Row],[JG]],2026-Table13[[#This Row],[JG]],0)</f>
        <v>20</v>
      </c>
      <c r="F34" s="4" t="s">
        <v>34</v>
      </c>
      <c r="G34" s="26">
        <f>SUM(U34, AH34, AU34)</f>
        <v>887.47346072186838</v>
      </c>
      <c r="H34" s="24">
        <f>_xlfn.RANK.EQ(Table13[[#This Row],[Gesamtpunkte]],Table13[Gesamtpunkte],0)</f>
        <v>32</v>
      </c>
      <c r="I34" s="11"/>
      <c r="J34" s="4" t="str">
        <f>IF(Table13[[#This Row],[Zeit LSC]]&gt;0,_xlfn.RANK.EQ(Table13[[#This Row],[Punkte LSC]],Table13[Punkte LSC],0)," ")</f>
        <v xml:space="preserve"> </v>
      </c>
      <c r="K34" s="9">
        <f>IF(Table13[[#This Row],[Zeit LSC]]&gt;0,MIN(Table13[Zeit LSC])/Table13[[#This Row],[Zeit LSC]]*1000,0)</f>
        <v>0</v>
      </c>
      <c r="L34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4" s="9">
        <f>(Table13[[#This Row],[Punkte LSC]]+Table13[[#This Row],[Bonus LSC]])</f>
        <v>0</v>
      </c>
      <c r="N34" s="12" t="str">
        <f>IF(Table13[[#This Row],[Zeit LSC]]&gt;0,_xlfn.RANK.EQ(Table13[[#This Row],[Gesamt LSC]],Table13[Gesamt LSC],0)," ")</f>
        <v xml:space="preserve"> </v>
      </c>
      <c r="O34" s="8"/>
      <c r="P34" s="5" t="str">
        <f>IF(Table13[[#This Row],[Zeit LKC]]&gt;0,_xlfn.RANK.EQ(Table13[[#This Row],[Punkte LKC]],Table13[Punkte LKC],0)," ")</f>
        <v xml:space="preserve"> </v>
      </c>
      <c r="Q34" s="6">
        <f>IF(Table13[[#This Row],[Zeit LKC]]&gt;0,MIN(Table13[Zeit LKC])/Table13[[#This Row],[Zeit LKC]]*1000,0)</f>
        <v>0</v>
      </c>
      <c r="R3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4" s="6">
        <f>(Table13[[#This Row],[Punkte LKC]]+Table13[[#This Row],[Bonus LKC]])</f>
        <v>0</v>
      </c>
      <c r="T34" s="12" t="str">
        <f>IF(Table13[[#This Row],[Zeit LKC]]&gt;0,_xlfn.RANK.EQ(Table13[[#This Row],[Gesamt LKC]],Table13[Gesamt LKC],0)," ")</f>
        <v xml:space="preserve"> </v>
      </c>
      <c r="U34" s="15">
        <f>MAX( S34,M34)</f>
        <v>0</v>
      </c>
      <c r="V34" s="11"/>
      <c r="W34" s="5" t="str">
        <f>IF(Table13[[#This Row],[Zeit S&amp;R]]&gt;0,_xlfn.RANK.EQ(Table13[[#This Row],[Punkte S&amp;R]],Table13[Punkte S&amp;R],0)," ")</f>
        <v xml:space="preserve"> </v>
      </c>
      <c r="X34" s="9">
        <f>IF(Table13[[#This Row],[Zeit S&amp;R]]&gt;0,MIN(Table13[Zeit S&amp;R])/Table13[[#This Row],[Zeit S&amp;R]]*1000,0)</f>
        <v>0</v>
      </c>
      <c r="Y34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4" s="9">
        <f>(Table13[[#This Row],[Punkte S&amp;R]]+Table13[[#This Row],[Bonus S&amp;R]])</f>
        <v>0</v>
      </c>
      <c r="AA34" s="12" t="str">
        <f>IF(Table13[[#This Row],[Zeit S&amp;R]]&gt;0,_xlfn.RANK.EQ(Table13[[#This Row],[Gesamt S&amp;R]],Table13[Gesamt S&amp;R],0)," ")</f>
        <v xml:space="preserve"> </v>
      </c>
      <c r="AB34" s="11"/>
      <c r="AC34" s="12" t="str">
        <f>IF(Table13[[#This Row],[Zeit LC]]&gt;0,_xlfn.RANK.EQ(Table13[[#This Row],[Punkte LC]],Table13[Punkte LC],0)," ")</f>
        <v xml:space="preserve"> </v>
      </c>
      <c r="AD34" s="9">
        <f>IF(Table13[[#This Row],[Zeit LC]]&gt;0,MIN(Table13[Zeit LC])/Table13[[#This Row],[Zeit LC]]*1000,0)</f>
        <v>0</v>
      </c>
      <c r="AE34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4" s="9">
        <f>(Table13[[#This Row],[Punkte LC]]+Table13[[#This Row],[Bonus LC]])</f>
        <v>0</v>
      </c>
      <c r="AG34" s="12" t="str">
        <f>IF(Table13[[#This Row],[Zeit LC]]&gt;0,_xlfn.RANK.EQ(Table13[[#This Row],[Gesamt LC]],Table13[Gesamt LC],0)," ")</f>
        <v xml:space="preserve"> </v>
      </c>
      <c r="AH34" s="15">
        <f>MAX( Z34,AF34)</f>
        <v>0</v>
      </c>
      <c r="AI34" s="11"/>
      <c r="AJ34" s="5" t="str">
        <f>IF(Table13[[#This Row],[Zeit BZF]]&gt;0,_xlfn.RANK.EQ(Table13[[#This Row],[Punkte BZF]],Table13[Punkte BZF],0)," ")</f>
        <v xml:space="preserve"> </v>
      </c>
      <c r="AK34" s="9">
        <f>IF(Table13[[#This Row],[Zeit BZF]]&gt;0,MIN(Table13[Zeit BZF])/Table13[[#This Row],[Zeit BZF]]*1000,0)</f>
        <v>0</v>
      </c>
      <c r="AL34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4" s="9">
        <f>(Table13[[#This Row],[Punkte BZF]]+Table13[[#This Row],[Bonus BZF]])</f>
        <v>0</v>
      </c>
      <c r="AN34" s="12" t="str">
        <f>IF(Table13[[#This Row],[Zeit BZF]]&gt;0,_xlfn.RANK.EQ(Table13[[#This Row],[Gesamt BZF]],Table13[Gesamt BZF],0)," ")</f>
        <v xml:space="preserve"> </v>
      </c>
      <c r="AO34" s="11">
        <v>2.1805555555555557E-2</v>
      </c>
      <c r="AP34" s="5">
        <f>IF(Table13[[#This Row],[Zeit EZF]]&gt;0,_xlfn.RANK.EQ(Table13[[#This Row],[Punkte EZF]],Table13[Punkte EZF],0)," ")</f>
        <v>11</v>
      </c>
      <c r="AQ34" s="9">
        <f>IF(Table13[[#This Row],[Zeit EZF]]&gt;0,MIN(Table13[Zeit EZF])/Table13[[#This Row],[Zeit EZF]]*1000,0)</f>
        <v>887.47346072186838</v>
      </c>
      <c r="AR34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4" s="9">
        <f>(Table13[[#This Row],[Punkte EZF]]+Table13[[#This Row],[Bonus EZF]])</f>
        <v>887.47346072186838</v>
      </c>
      <c r="AT34" s="12">
        <f>IF(Table13[[#This Row],[Zeit EZF]]&gt;0,_xlfn.RANK.EQ(Table13[[#This Row],[Gesamt EZF]],Table13[Gesamt EZF],0)," ")</f>
        <v>14</v>
      </c>
      <c r="AU34" s="17">
        <f t="shared" ref="AU34" si="8">MAX( AM34,AS34)</f>
        <v>887.47346072186838</v>
      </c>
    </row>
    <row r="35" spans="1:47" x14ac:dyDescent="0.25">
      <c r="A35" s="1" t="s">
        <v>132</v>
      </c>
      <c r="B35" s="1" t="s">
        <v>164</v>
      </c>
      <c r="C35" s="5"/>
      <c r="D35" s="5">
        <v>1976</v>
      </c>
      <c r="E35" s="5">
        <f>IF(Table13[[#This Row],[JG]],2026-Table13[[#This Row],[JG]],0)</f>
        <v>50</v>
      </c>
      <c r="F35" s="5"/>
      <c r="G35" s="26">
        <f>SUM(U35, AH35, AU35)</f>
        <v>874.74787818272591</v>
      </c>
      <c r="H35" s="24">
        <f>_xlfn.RANK.EQ(Table13[[#This Row],[Gesamtpunkte]],Table13[Gesamtpunkte],0)</f>
        <v>33</v>
      </c>
      <c r="I35" s="19"/>
      <c r="J35" s="20" t="str">
        <f>IF(Table13[[#This Row],[Zeit LSC]]&gt;0,_xlfn.RANK.EQ(Table13[[#This Row],[Punkte LSC]],Table13[Punkte LSC],0)," ")</f>
        <v xml:space="preserve"> </v>
      </c>
      <c r="K35" s="21">
        <f>IF(Table13[[#This Row],[Zeit LSC]]&gt;0,MIN(Table13[Zeit LSC])/Table13[[#This Row],[Zeit LSC]]*1000,0)</f>
        <v>0</v>
      </c>
      <c r="L35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5" s="21">
        <f>(Table13[[#This Row],[Punkte LSC]]+Table13[[#This Row],[Bonus LSC]])</f>
        <v>0</v>
      </c>
      <c r="N35" s="23" t="str">
        <f>IF(Table13[[#This Row],[Zeit LSC]]&gt;0,_xlfn.RANK.EQ(Table13[[#This Row],[Gesamt LSC]],Table13[Gesamt LSC],0)," ")</f>
        <v xml:space="preserve"> </v>
      </c>
      <c r="O35" s="5"/>
      <c r="P35" s="5" t="str">
        <f>IF(Table13[[#This Row],[Zeit LKC]]&gt;0,_xlfn.RANK.EQ(Table13[[#This Row],[Punkte LKC]],Table13[Punkte LKC],0)," ")</f>
        <v xml:space="preserve"> </v>
      </c>
      <c r="Q35" s="6">
        <f>IF(Table13[[#This Row],[Zeit LKC]]&gt;0,MIN(Table13[Zeit LKC])/Table13[[#This Row],[Zeit LKC]]*1000,0)</f>
        <v>0</v>
      </c>
      <c r="R35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5" s="9">
        <f>(Table13[[#This Row],[Punkte LKC]]+Table13[[#This Row],[Bonus LKC]])</f>
        <v>0</v>
      </c>
      <c r="T35" s="13" t="str">
        <f>IF(Table13[[#This Row],[Zeit LKC]]&gt;0,_xlfn.RANK.EQ(Table13[[#This Row],[Gesamt LKC]],Table13[Gesamt LKC],0)," ")</f>
        <v xml:space="preserve"> </v>
      </c>
      <c r="U35" s="15">
        <f>MAX( S35,M35)</f>
        <v>0</v>
      </c>
      <c r="V35" s="11"/>
      <c r="W35" s="5" t="str">
        <f>IF(Table13[[#This Row],[Zeit S&amp;R]]&gt;0,_xlfn.RANK.EQ(Table13[[#This Row],[Punkte S&amp;R]],Table13[Punkte S&amp;R],0)," ")</f>
        <v xml:space="preserve"> </v>
      </c>
      <c r="X35" s="9">
        <f>IF(Table13[[#This Row],[Zeit S&amp;R]]&gt;0,MIN(Table13[Zeit S&amp;R])/Table13[[#This Row],[Zeit S&amp;R]]*1000,0)</f>
        <v>0</v>
      </c>
      <c r="Y35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5" s="9">
        <f>(Table13[[#This Row],[Punkte S&amp;R]]+Table13[[#This Row],[Bonus S&amp;R]])</f>
        <v>0</v>
      </c>
      <c r="AA35" s="13" t="str">
        <f>IF(Table13[[#This Row],[Zeit S&amp;R]]&gt;0,_xlfn.RANK.EQ(Table13[[#This Row],[Gesamt S&amp;R]],Table13[Gesamt S&amp;R],0)," ")</f>
        <v xml:space="preserve"> </v>
      </c>
      <c r="AB35" s="11"/>
      <c r="AC35" s="13" t="str">
        <f>IF(Table13[[#This Row],[Zeit LC]]&gt;0,_xlfn.RANK.EQ(Table13[[#This Row],[Punkte LC]],Table13[Punkte LC],0)," ")</f>
        <v xml:space="preserve"> </v>
      </c>
      <c r="AD35" s="9">
        <f>IF(Table13[[#This Row],[Zeit LC]]&gt;0,MIN(Table13[Zeit LC])/Table13[[#This Row],[Zeit LC]]*1000,0)</f>
        <v>0</v>
      </c>
      <c r="AE35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5" s="9">
        <f>(Table13[[#This Row],[Punkte LC]]+Table13[[#This Row],[Bonus LC]])</f>
        <v>0</v>
      </c>
      <c r="AG35" s="13" t="str">
        <f>IF(Table13[[#This Row],[Zeit LC]]&gt;0,_xlfn.RANK.EQ(Table13[[#This Row],[Gesamt LC]],Table13[Gesamt LC],0)," ")</f>
        <v xml:space="preserve"> </v>
      </c>
      <c r="AH35" s="15">
        <f>MAX( Z35,AF35)</f>
        <v>0</v>
      </c>
      <c r="AI35" s="11"/>
      <c r="AJ35" s="5" t="str">
        <f>IF(Table13[[#This Row],[Zeit BZF]]&gt;0,_xlfn.RANK.EQ(Table13[[#This Row],[Punkte BZF]],Table13[Punkte BZF],0)," ")</f>
        <v xml:space="preserve"> </v>
      </c>
      <c r="AK35" s="9">
        <f>IF(Table13[[#This Row],[Zeit BZF]]&gt;0,MIN(Table13[Zeit BZF])/Table13[[#This Row],[Zeit BZF]]*1000,0)</f>
        <v>0</v>
      </c>
      <c r="AL35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5" s="9">
        <f>(Table13[[#This Row],[Punkte BZF]]+Table13[[#This Row],[Bonus BZF]])</f>
        <v>0</v>
      </c>
      <c r="AN35" s="13" t="str">
        <f>IF(Table13[[#This Row],[Zeit BZF]]&gt;0,_xlfn.RANK.EQ(Table13[[#This Row],[Gesamt BZF]],Table13[Gesamt BZF],0)," ")</f>
        <v xml:space="preserve"> </v>
      </c>
      <c r="AO35" s="11">
        <v>2.3182870370370371E-2</v>
      </c>
      <c r="AP35" s="5">
        <f>IF(Table13[[#This Row],[Zeit EZF]]&gt;0,_xlfn.RANK.EQ(Table13[[#This Row],[Punkte EZF]],Table13[Punkte EZF],0)," ")</f>
        <v>20</v>
      </c>
      <c r="AQ35" s="9">
        <f>IF(Table13[[#This Row],[Zeit EZF]]&gt;0,MIN(Table13[Zeit EZF])/Table13[[#This Row],[Zeit EZF]]*1000,0)</f>
        <v>834.74787818272591</v>
      </c>
      <c r="AR35" s="10">
        <f>IF(Table13[[#This Row],[Zeit EZF]]&gt;0,SUM(IF(Table13[[#This Row],[Alter]]&gt;40,(Table13[[#This Row],[Alter]]-40)*4,0),IF(AND(Table13[[#This Row],[Alter]]&lt;20,Table13[[#This Row],[Alter]]&gt;0),(20-Table13[[#This Row],[Alter]])*10,0)),0)</f>
        <v>40</v>
      </c>
      <c r="AS35" s="9">
        <f>(Table13[[#This Row],[Punkte EZF]]+Table13[[#This Row],[Bonus EZF]])</f>
        <v>874.74787818272591</v>
      </c>
      <c r="AT35" s="13">
        <f>IF(Table13[[#This Row],[Zeit EZF]]&gt;0,_xlfn.RANK.EQ(Table13[[#This Row],[Gesamt EZF]],Table13[Gesamt EZF],0)," ")</f>
        <v>16</v>
      </c>
      <c r="AU35" s="17">
        <f t="shared" ref="AU35" si="9">MAX( AM35,AS35)</f>
        <v>874.74787818272591</v>
      </c>
    </row>
    <row r="36" spans="1:47" x14ac:dyDescent="0.25">
      <c r="A36" s="1" t="s">
        <v>83</v>
      </c>
      <c r="B36" s="1" t="s">
        <v>84</v>
      </c>
      <c r="C36" s="5"/>
      <c r="D36" s="5">
        <v>1988</v>
      </c>
      <c r="E36" s="5">
        <f>IF(Table13[[#This Row],[JG]],2026-Table13[[#This Row],[JG]],0)</f>
        <v>38</v>
      </c>
      <c r="F36" s="4" t="s">
        <v>34</v>
      </c>
      <c r="G36" s="26">
        <f>SUM(U36, AH36, AU36)</f>
        <v>871.28712871287132</v>
      </c>
      <c r="H36" s="24">
        <f>_xlfn.RANK.EQ(Table13[[#This Row],[Gesamtpunkte]],Table13[Gesamtpunkte],0)</f>
        <v>34</v>
      </c>
      <c r="I36" s="11"/>
      <c r="J36" s="4" t="str">
        <f>IF(Table13[[#This Row],[Zeit LSC]]&gt;0,_xlfn.RANK.EQ(Table13[[#This Row],[Punkte LSC]],Table13[Punkte LSC],0)," ")</f>
        <v xml:space="preserve"> </v>
      </c>
      <c r="K36" s="9">
        <f>IF(Table13[[#This Row],[Zeit LSC]]&gt;0,MIN(Table13[Zeit LSC])/Table13[[#This Row],[Zeit LSC]]*1000,0)</f>
        <v>0</v>
      </c>
      <c r="L36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6" s="9">
        <f>(Table13[[#This Row],[Punkte LSC]]+Table13[[#This Row],[Bonus LSC]])</f>
        <v>0</v>
      </c>
      <c r="N36" s="12" t="str">
        <f>IF(Table13[[#This Row],[Zeit LSC]]&gt;0,_xlfn.RANK.EQ(Table13[[#This Row],[Gesamt LSC]],Table13[Gesamt LSC],0)," ")</f>
        <v xml:space="preserve"> </v>
      </c>
      <c r="O36" s="8"/>
      <c r="P36" s="5" t="str">
        <f>IF(Table13[[#This Row],[Zeit LKC]]&gt;0,_xlfn.RANK.EQ(Table13[[#This Row],[Punkte LKC]],Table13[Punkte LKC],0)," ")</f>
        <v xml:space="preserve"> </v>
      </c>
      <c r="Q36" s="6">
        <f>IF(Table13[[#This Row],[Zeit LKC]]&gt;0,MIN(Table13[Zeit LKC])/Table13[[#This Row],[Zeit LKC]]*1000,0)</f>
        <v>0</v>
      </c>
      <c r="R36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6" s="6">
        <f>(Table13[[#This Row],[Punkte LKC]]+Table13[[#This Row],[Bonus LKC]])</f>
        <v>0</v>
      </c>
      <c r="T36" s="12" t="str">
        <f>IF(Table13[[#This Row],[Zeit LKC]]&gt;0,_xlfn.RANK.EQ(Table13[[#This Row],[Gesamt LKC]],Table13[Gesamt LKC],0)," ")</f>
        <v xml:space="preserve"> </v>
      </c>
      <c r="U36" s="15">
        <f>MAX( S36,M36)</f>
        <v>0</v>
      </c>
      <c r="V36" s="11"/>
      <c r="W36" s="5" t="str">
        <f>IF(Table13[[#This Row],[Zeit S&amp;R]]&gt;0,_xlfn.RANK.EQ(Table13[[#This Row],[Punkte S&amp;R]],Table13[Punkte S&amp;R],0)," ")</f>
        <v xml:space="preserve"> </v>
      </c>
      <c r="X36" s="9">
        <f>IF(Table13[[#This Row],[Zeit S&amp;R]]&gt;0,MIN(Table13[Zeit S&amp;R])/Table13[[#This Row],[Zeit S&amp;R]]*1000,0)</f>
        <v>0</v>
      </c>
      <c r="Y36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6" s="9">
        <f>(Table13[[#This Row],[Punkte S&amp;R]]+Table13[[#This Row],[Bonus S&amp;R]])</f>
        <v>0</v>
      </c>
      <c r="AA36" s="12" t="str">
        <f>IF(Table13[[#This Row],[Zeit S&amp;R]]&gt;0,_xlfn.RANK.EQ(Table13[[#This Row],[Gesamt S&amp;R]],Table13[Gesamt S&amp;R],0)," ")</f>
        <v xml:space="preserve"> </v>
      </c>
      <c r="AB36" s="11"/>
      <c r="AC36" s="12" t="str">
        <f>IF(Table13[[#This Row],[Zeit LC]]&gt;0,_xlfn.RANK.EQ(Table13[[#This Row],[Punkte LC]],Table13[Punkte LC],0)," ")</f>
        <v xml:space="preserve"> </v>
      </c>
      <c r="AD36" s="9">
        <f>IF(Table13[[#This Row],[Zeit LC]]&gt;0,MIN(Table13[Zeit LC])/Table13[[#This Row],[Zeit LC]]*1000,0)</f>
        <v>0</v>
      </c>
      <c r="AE36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6" s="9">
        <f>(Table13[[#This Row],[Punkte LC]]+Table13[[#This Row],[Bonus LC]])</f>
        <v>0</v>
      </c>
      <c r="AG36" s="12" t="str">
        <f>IF(Table13[[#This Row],[Zeit LC]]&gt;0,_xlfn.RANK.EQ(Table13[[#This Row],[Gesamt LC]],Table13[Gesamt LC],0)," ")</f>
        <v xml:space="preserve"> </v>
      </c>
      <c r="AH36" s="15">
        <f>MAX( Z36,AF36)</f>
        <v>0</v>
      </c>
      <c r="AI36" s="11">
        <v>3.0428240740740742E-2</v>
      </c>
      <c r="AJ36" s="5">
        <f>IF(Table13[[#This Row],[Zeit BZF]]&gt;0,_xlfn.RANK.EQ(Table13[[#This Row],[Punkte BZF]],Table13[Punkte BZF],0)," ")</f>
        <v>13</v>
      </c>
      <c r="AK36" s="9">
        <f>IF(Table13[[#This Row],[Zeit BZF]]&gt;0,MIN(Table13[Zeit BZF])/Table13[[#This Row],[Zeit BZF]]*1000,0)</f>
        <v>682.0083682008368</v>
      </c>
      <c r="AL36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6" s="9">
        <f>(Table13[[#This Row],[Punkte BZF]]+Table13[[#This Row],[Bonus BZF]])</f>
        <v>682.0083682008368</v>
      </c>
      <c r="AN36" s="12">
        <f>IF(Table13[[#This Row],[Zeit BZF]]&gt;0,_xlfn.RANK.EQ(Table13[[#This Row],[Gesamt BZF]],Table13[Gesamt BZF],0)," ")</f>
        <v>14</v>
      </c>
      <c r="AO36" s="11">
        <v>2.2210648148148149E-2</v>
      </c>
      <c r="AP36" s="5">
        <f>IF(Table13[[#This Row],[Zeit EZF]]&gt;0,_xlfn.RANK.EQ(Table13[[#This Row],[Punkte EZF]],Table13[Punkte EZF],0)," ")</f>
        <v>12</v>
      </c>
      <c r="AQ36" s="9">
        <f>IF(Table13[[#This Row],[Zeit EZF]]&gt;0,MIN(Table13[Zeit EZF])/Table13[[#This Row],[Zeit EZF]]*1000,0)</f>
        <v>871.28712871287132</v>
      </c>
      <c r="AR36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6" s="9">
        <f>(Table13[[#This Row],[Punkte EZF]]+Table13[[#This Row],[Bonus EZF]])</f>
        <v>871.28712871287132</v>
      </c>
      <c r="AT36" s="12">
        <f>IF(Table13[[#This Row],[Zeit EZF]]&gt;0,_xlfn.RANK.EQ(Table13[[#This Row],[Gesamt EZF]],Table13[Gesamt EZF],0)," ")</f>
        <v>17</v>
      </c>
      <c r="AU36" s="17">
        <f t="shared" ref="AU36:AU44" si="10">MAX( AM36,AS36)</f>
        <v>871.28712871287132</v>
      </c>
    </row>
    <row r="37" spans="1:47" x14ac:dyDescent="0.25">
      <c r="A37" s="1" t="s">
        <v>159</v>
      </c>
      <c r="B37" s="1" t="s">
        <v>158</v>
      </c>
      <c r="C37" s="5"/>
      <c r="D37" s="5">
        <v>2003</v>
      </c>
      <c r="E37" s="5">
        <f>IF(Table13[[#This Row],[JG]],2026-Table13[[#This Row],[JG]],0)</f>
        <v>23</v>
      </c>
      <c r="F37" s="5"/>
      <c r="G37" s="26">
        <f>SUM(U37, AH37, AU37)</f>
        <v>864.08268733850139</v>
      </c>
      <c r="H37" s="24">
        <f>_xlfn.RANK.EQ(Table13[[#This Row],[Gesamtpunkte]],Table13[Gesamtpunkte],0)</f>
        <v>35</v>
      </c>
      <c r="I37" s="11"/>
      <c r="J37" s="5" t="str">
        <f>IF(Table13[[#This Row],[Zeit LSC]]&gt;0,_xlfn.RANK.EQ(Table13[[#This Row],[Punkte LSC]],Table13[Punkte LSC],0)," ")</f>
        <v xml:space="preserve"> </v>
      </c>
      <c r="K37" s="9">
        <f>IF(Table13[[#This Row],[Zeit LSC]]&gt;0,MIN(Table13[Zeit LSC])/Table13[[#This Row],[Zeit LSC]]*1000,0)</f>
        <v>0</v>
      </c>
      <c r="L37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7" s="9">
        <f>(Table13[[#This Row],[Punkte LSC]]+Table13[[#This Row],[Bonus LSC]])</f>
        <v>0</v>
      </c>
      <c r="N37" s="13" t="str">
        <f>IF(Table13[[#This Row],[Zeit LSC]]&gt;0,_xlfn.RANK.EQ(Table13[[#This Row],[Gesamt LSC]],Table13[Gesamt LSC],0)," ")</f>
        <v xml:space="preserve"> </v>
      </c>
      <c r="O37" s="11"/>
      <c r="P37" s="5" t="str">
        <f>IF(Table13[[#This Row],[Zeit LKC]]&gt;0,_xlfn.RANK.EQ(Table13[[#This Row],[Punkte LKC]],Table13[Punkte LKC],0)," ")</f>
        <v xml:space="preserve"> </v>
      </c>
      <c r="Q37" s="6">
        <f>IF(Table13[[#This Row],[Zeit LKC]]&gt;0,MIN(Table13[Zeit LKC])/Table13[[#This Row],[Zeit LKC]]*1000,0)</f>
        <v>0</v>
      </c>
      <c r="R37" s="9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7" s="9">
        <f>(Table13[[#This Row],[Punkte LKC]]+Table13[[#This Row],[Bonus LKC]])</f>
        <v>0</v>
      </c>
      <c r="T37" s="13" t="str">
        <f>IF(Table13[[#This Row],[Zeit LKC]]&gt;0,_xlfn.RANK.EQ(Table13[[#This Row],[Gesamt LKC]],Table13[Gesamt LKC],0)," ")</f>
        <v xml:space="preserve"> </v>
      </c>
      <c r="U37" s="15">
        <f>MAX( S37,M37)</f>
        <v>0</v>
      </c>
      <c r="V37" s="11"/>
      <c r="W37" s="5" t="str">
        <f>IF(Table13[[#This Row],[Zeit S&amp;R]]&gt;0,_xlfn.RANK.EQ(Table13[[#This Row],[Punkte S&amp;R]],Table13[Punkte S&amp;R],0)," ")</f>
        <v xml:space="preserve"> </v>
      </c>
      <c r="X37" s="9">
        <f>IF(Table13[[#This Row],[Zeit S&amp;R]]&gt;0,MIN(Table13[Zeit S&amp;R])/Table13[[#This Row],[Zeit S&amp;R]]*1000,0)</f>
        <v>0</v>
      </c>
      <c r="Y37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7" s="9">
        <f>(Table13[[#This Row],[Punkte S&amp;R]]+Table13[[#This Row],[Bonus S&amp;R]])</f>
        <v>0</v>
      </c>
      <c r="AA37" s="13" t="str">
        <f>IF(Table13[[#This Row],[Zeit S&amp;R]]&gt;0,_xlfn.RANK.EQ(Table13[[#This Row],[Gesamt S&amp;R]],Table13[Gesamt S&amp;R],0)," ")</f>
        <v xml:space="preserve"> </v>
      </c>
      <c r="AB37" s="11"/>
      <c r="AC37" s="13" t="str">
        <f>IF(Table13[[#This Row],[Zeit LC]]&gt;0,_xlfn.RANK.EQ(Table13[[#This Row],[Punkte LC]],Table13[Punkte LC],0)," ")</f>
        <v xml:space="preserve"> </v>
      </c>
      <c r="AD37" s="9">
        <f>IF(Table13[[#This Row],[Zeit LC]]&gt;0,MIN(Table13[Zeit LC])/Table13[[#This Row],[Zeit LC]]*1000,0)</f>
        <v>0</v>
      </c>
      <c r="AE37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7" s="9">
        <f>(Table13[[#This Row],[Punkte LC]]+Table13[[#This Row],[Bonus LC]])</f>
        <v>0</v>
      </c>
      <c r="AG37" s="13" t="str">
        <f>IF(Table13[[#This Row],[Zeit LC]]&gt;0,_xlfn.RANK.EQ(Table13[[#This Row],[Gesamt LC]],Table13[Gesamt LC],0)," ")</f>
        <v xml:space="preserve"> </v>
      </c>
      <c r="AH37" s="15">
        <f>MAX( Z37,AF37)</f>
        <v>0</v>
      </c>
      <c r="AI37" s="11">
        <v>2.508101851851852E-2</v>
      </c>
      <c r="AJ37" s="5">
        <f>IF(Table13[[#This Row],[Zeit BZF]]&gt;0,_xlfn.RANK.EQ(Table13[[#This Row],[Punkte BZF]],Table13[Punkte BZF],0)," ")</f>
        <v>3</v>
      </c>
      <c r="AK37" s="9">
        <f>IF(Table13[[#This Row],[Zeit BZF]]&gt;0,MIN(Table13[Zeit BZF])/Table13[[#This Row],[Zeit BZF]]*1000,0)</f>
        <v>827.41116751269033</v>
      </c>
      <c r="AL37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7" s="9">
        <f>(Table13[[#This Row],[Punkte BZF]]+Table13[[#This Row],[Bonus BZF]])</f>
        <v>827.41116751269033</v>
      </c>
      <c r="AN37" s="13">
        <f>IF(Table13[[#This Row],[Zeit BZF]]&gt;0,_xlfn.RANK.EQ(Table13[[#This Row],[Gesamt BZF]],Table13[Gesamt BZF],0)," ")</f>
        <v>3</v>
      </c>
      <c r="AO37" s="11">
        <v>2.2395833333333334E-2</v>
      </c>
      <c r="AP37" s="5">
        <f>IF(Table13[[#This Row],[Zeit EZF]]&gt;0,_xlfn.RANK.EQ(Table13[[#This Row],[Punkte EZF]],Table13[Punkte EZF],0)," ")</f>
        <v>14</v>
      </c>
      <c r="AQ37" s="9">
        <f>IF(Table13[[#This Row],[Zeit EZF]]&gt;0,MIN(Table13[Zeit EZF])/Table13[[#This Row],[Zeit EZF]]*1000,0)</f>
        <v>864.08268733850139</v>
      </c>
      <c r="AR37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7" s="9">
        <f>(Table13[[#This Row],[Punkte EZF]]+Table13[[#This Row],[Bonus EZF]])</f>
        <v>864.08268733850139</v>
      </c>
      <c r="AT37" s="13">
        <f>IF(Table13[[#This Row],[Zeit EZF]]&gt;0,_xlfn.RANK.EQ(Table13[[#This Row],[Gesamt EZF]],Table13[Gesamt EZF],0)," ")</f>
        <v>18</v>
      </c>
      <c r="AU37" s="17">
        <f t="shared" ref="AU37:AU38" si="11">MAX( AM37,AS37)</f>
        <v>864.08268733850139</v>
      </c>
    </row>
    <row r="38" spans="1:47" x14ac:dyDescent="0.25">
      <c r="A38" s="1" t="s">
        <v>153</v>
      </c>
      <c r="B38" s="1" t="s">
        <v>86</v>
      </c>
      <c r="C38" s="4">
        <v>1</v>
      </c>
      <c r="D38" s="4">
        <v>1965</v>
      </c>
      <c r="E38" s="4">
        <f>IF(Table13[[#This Row],[JG]],2026-Table13[[#This Row],[JG]],0)</f>
        <v>61</v>
      </c>
      <c r="F38" s="4"/>
      <c r="G38" s="26">
        <f>SUM(U38, AH38, AU38)</f>
        <v>860.23026926648095</v>
      </c>
      <c r="H38" s="24">
        <f>_xlfn.RANK.EQ(Table13[[#This Row],[Gesamtpunkte]],Table13[Gesamtpunkte],0)</f>
        <v>36</v>
      </c>
      <c r="I38" s="8"/>
      <c r="J38" s="4" t="str">
        <f>IF(Table13[[#This Row],[Zeit LSC]]&gt;0,_xlfn.RANK.EQ(Table13[[#This Row],[Punkte LSC]],Table13[Punkte LSC],0)," ")</f>
        <v xml:space="preserve"> </v>
      </c>
      <c r="K38" s="6">
        <f>IF(Table13[[#This Row],[Zeit LSC]]&gt;0,MIN(Table13[Zeit LSC])/Table13[[#This Row],[Zeit LSC]]*1000,0)</f>
        <v>0</v>
      </c>
      <c r="L38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8" s="6">
        <f>(Table13[[#This Row],[Punkte LSC]]+Table13[[#This Row],[Bonus LSC]])</f>
        <v>0</v>
      </c>
      <c r="N38" s="12" t="str">
        <f>IF(Table13[[#This Row],[Zeit LSC]]&gt;0,_xlfn.RANK.EQ(Table13[[#This Row],[Gesamt LSC]],Table13[Gesamt LSC],0)," ")</f>
        <v xml:space="preserve"> </v>
      </c>
      <c r="O38" s="8"/>
      <c r="P38" s="4" t="str">
        <f>IF(Table13[[#This Row],[Zeit LKC]]&gt;0,_xlfn.RANK.EQ(Table13[[#This Row],[Punkte LKC]],Table13[Punkte LKC],0)," ")</f>
        <v xml:space="preserve"> </v>
      </c>
      <c r="Q38" s="6">
        <f>IF(Table13[[#This Row],[Zeit LKC]]&gt;0,MIN(Table13[Zeit LKC])/Table13[[#This Row],[Zeit LKC]]*1000,0)</f>
        <v>0</v>
      </c>
      <c r="R38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8" s="6">
        <f>(Table13[[#This Row],[Punkte LKC]]+Table13[[#This Row],[Bonus LKC]])</f>
        <v>0</v>
      </c>
      <c r="T38" s="12" t="str">
        <f>IF(Table13[[#This Row],[Zeit LKC]]&gt;0,_xlfn.RANK.EQ(Table13[[#This Row],[Gesamt LKC]],Table13[Gesamt LKC],0)," ")</f>
        <v xml:space="preserve"> </v>
      </c>
      <c r="U38" s="15">
        <f>MAX( S38,M38)</f>
        <v>0</v>
      </c>
      <c r="V38" s="8"/>
      <c r="W38" s="5" t="str">
        <f>IF(Table13[[#This Row],[Zeit S&amp;R]]&gt;0,_xlfn.RANK.EQ(Table13[[#This Row],[Punkte S&amp;R]],Table13[Punkte S&amp;R],0)," ")</f>
        <v xml:space="preserve"> </v>
      </c>
      <c r="X38" s="6">
        <f>IF(Table13[[#This Row],[Zeit S&amp;R]]&gt;0,MIN(Table13[Zeit S&amp;R])/Table13[[#This Row],[Zeit S&amp;R]]*1000,0)</f>
        <v>0</v>
      </c>
      <c r="Y38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8" s="6">
        <f>(Table13[[#This Row],[Punkte S&amp;R]]+Table13[[#This Row],[Bonus S&amp;R]])</f>
        <v>0</v>
      </c>
      <c r="AA38" s="12" t="str">
        <f>IF(Table13[[#This Row],[Zeit S&amp;R]]&gt;0,_xlfn.RANK.EQ(Table13[[#This Row],[Gesamt S&amp;R]],Table13[Gesamt S&amp;R],0)," ")</f>
        <v xml:space="preserve"> </v>
      </c>
      <c r="AB38" s="8"/>
      <c r="AC38" s="12" t="str">
        <f>IF(Table13[[#This Row],[Zeit LC]]&gt;0,_xlfn.RANK.EQ(Table13[[#This Row],[Punkte LC]],Table13[Punkte LC],0)," ")</f>
        <v xml:space="preserve"> </v>
      </c>
      <c r="AD38" s="6">
        <f>IF(Table13[[#This Row],[Zeit LC]]&gt;0,MIN(Table13[Zeit LC])/Table13[[#This Row],[Zeit LC]]*1000,0)</f>
        <v>0</v>
      </c>
      <c r="AE38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8" s="6">
        <f>(Table13[[#This Row],[Punkte LC]]+Table13[[#This Row],[Bonus LC]])</f>
        <v>0</v>
      </c>
      <c r="AG38" s="12" t="str">
        <f>IF(Table13[[#This Row],[Zeit LC]]&gt;0,_xlfn.RANK.EQ(Table13[[#This Row],[Gesamt LC]],Table13[Gesamt LC],0)," ")</f>
        <v xml:space="preserve"> </v>
      </c>
      <c r="AH38" s="15">
        <f>MAX( Z38,AF38)</f>
        <v>0</v>
      </c>
      <c r="AI38" s="8"/>
      <c r="AJ38" s="5" t="str">
        <f>IF(Table13[[#This Row],[Zeit BZF]]&gt;0,_xlfn.RANK.EQ(Table13[[#This Row],[Punkte BZF]],Table13[Punkte BZF],0)," ")</f>
        <v xml:space="preserve"> </v>
      </c>
      <c r="AK38" s="9">
        <f>IF(Table13[[#This Row],[Zeit BZF]]&gt;0,MIN(Table13[Zeit BZF])/Table13[[#This Row],[Zeit BZF]]*1000,0)</f>
        <v>0</v>
      </c>
      <c r="AL38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8" s="6">
        <f>(Table13[[#This Row],[Punkte BZF]]+Table13[[#This Row],[Bonus BZF]])</f>
        <v>0</v>
      </c>
      <c r="AN38" s="12" t="str">
        <f>IF(Table13[[#This Row],[Zeit BZF]]&gt;0,_xlfn.RANK.EQ(Table13[[#This Row],[Gesamt BZF]],Table13[Gesamt BZF],0)," ")</f>
        <v xml:space="preserve"> </v>
      </c>
      <c r="AO38" s="8">
        <v>2.4930555555555556E-2</v>
      </c>
      <c r="AP38" s="5">
        <f>IF(Table13[[#This Row],[Zeit EZF]]&gt;0,_xlfn.RANK.EQ(Table13[[#This Row],[Punkte EZF]],Table13[Punkte EZF],0)," ")</f>
        <v>24</v>
      </c>
      <c r="AQ38" s="9">
        <f>IF(Table13[[#This Row],[Zeit EZF]]&gt;0,MIN(Table13[Zeit EZF])/Table13[[#This Row],[Zeit EZF]]*1000,0)</f>
        <v>776.23026926648095</v>
      </c>
      <c r="AR38" s="7">
        <f>IF(Table13[[#This Row],[Zeit EZF]]&gt;0,SUM(IF(Table13[[#This Row],[Alter]]&gt;40,(Table13[[#This Row],[Alter]]-40)*4,0),IF(AND(Table13[[#This Row],[Alter]]&lt;20,Table13[[#This Row],[Alter]]&gt;0),(20-Table13[[#This Row],[Alter]])*10,0)),0)</f>
        <v>84</v>
      </c>
      <c r="AS38" s="6">
        <f>(Table13[[#This Row],[Punkte EZF]]+Table13[[#This Row],[Bonus EZF]])</f>
        <v>860.23026926648095</v>
      </c>
      <c r="AT38" s="12">
        <f>IF(Table13[[#This Row],[Zeit EZF]]&gt;0,_xlfn.RANK.EQ(Table13[[#This Row],[Gesamt EZF]],Table13[Gesamt EZF],0)," ")</f>
        <v>21</v>
      </c>
      <c r="AU38" s="17">
        <f t="shared" si="11"/>
        <v>860.23026926648095</v>
      </c>
    </row>
    <row r="39" spans="1:47" x14ac:dyDescent="0.25">
      <c r="A39" s="1" t="s">
        <v>94</v>
      </c>
      <c r="B39" s="1" t="s">
        <v>82</v>
      </c>
      <c r="C39" s="5"/>
      <c r="D39" s="5">
        <v>2003</v>
      </c>
      <c r="E39" s="5">
        <f>IF(Table13[[#This Row],[JG]],2026-Table13[[#This Row],[JG]],0)</f>
        <v>23</v>
      </c>
      <c r="F39" s="4" t="s">
        <v>34</v>
      </c>
      <c r="G39" s="26">
        <f>SUM(U39, AH39, AU39)</f>
        <v>855.24296675191817</v>
      </c>
      <c r="H39" s="24">
        <f>_xlfn.RANK.EQ(Table13[[#This Row],[Gesamtpunkte]],Table13[Gesamtpunkte],0)</f>
        <v>37</v>
      </c>
      <c r="I39" s="11"/>
      <c r="J39" s="4" t="str">
        <f>IF(Table13[[#This Row],[Zeit LSC]]&gt;0,_xlfn.RANK.EQ(Table13[[#This Row],[Punkte LSC]],Table13[Punkte LSC],0)," ")</f>
        <v xml:space="preserve"> </v>
      </c>
      <c r="K39" s="9">
        <f>IF(Table13[[#This Row],[Zeit LSC]]&gt;0,MIN(Table13[Zeit LSC])/Table13[[#This Row],[Zeit LSC]]*1000,0)</f>
        <v>0</v>
      </c>
      <c r="L39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39" s="9">
        <f>(Table13[[#This Row],[Punkte LSC]]+Table13[[#This Row],[Bonus LSC]])</f>
        <v>0</v>
      </c>
      <c r="N39" s="12" t="str">
        <f>IF(Table13[[#This Row],[Zeit LSC]]&gt;0,_xlfn.RANK.EQ(Table13[[#This Row],[Gesamt LSC]],Table13[Gesamt LSC],0)," ")</f>
        <v xml:space="preserve"> </v>
      </c>
      <c r="O39" s="8"/>
      <c r="P39" s="5" t="str">
        <f>IF(Table13[[#This Row],[Zeit LKC]]&gt;0,_xlfn.RANK.EQ(Table13[[#This Row],[Punkte LKC]],Table13[Punkte LKC],0)," ")</f>
        <v xml:space="preserve"> </v>
      </c>
      <c r="Q39" s="6">
        <f>IF(Table13[[#This Row],[Zeit LKC]]&gt;0,MIN(Table13[Zeit LKC])/Table13[[#This Row],[Zeit LKC]]*1000,0)</f>
        <v>0</v>
      </c>
      <c r="R39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39" s="6">
        <f>(Table13[[#This Row],[Punkte LKC]]+Table13[[#This Row],[Bonus LKC]])</f>
        <v>0</v>
      </c>
      <c r="T39" s="12" t="str">
        <f>IF(Table13[[#This Row],[Zeit LKC]]&gt;0,_xlfn.RANK.EQ(Table13[[#This Row],[Gesamt LKC]],Table13[Gesamt LKC],0)," ")</f>
        <v xml:space="preserve"> </v>
      </c>
      <c r="U39" s="15">
        <f>MAX( S39,M39)</f>
        <v>0</v>
      </c>
      <c r="V39" s="11"/>
      <c r="W39" s="5" t="str">
        <f>IF(Table13[[#This Row],[Zeit S&amp;R]]&gt;0,_xlfn.RANK.EQ(Table13[[#This Row],[Punkte S&amp;R]],Table13[Punkte S&amp;R],0)," ")</f>
        <v xml:space="preserve"> </v>
      </c>
      <c r="X39" s="9">
        <f>IF(Table13[[#This Row],[Zeit S&amp;R]]&gt;0,MIN(Table13[Zeit S&amp;R])/Table13[[#This Row],[Zeit S&amp;R]]*1000,0)</f>
        <v>0</v>
      </c>
      <c r="Y39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39" s="9">
        <f>(Table13[[#This Row],[Punkte S&amp;R]]+Table13[[#This Row],[Bonus S&amp;R]])</f>
        <v>0</v>
      </c>
      <c r="AA39" s="12" t="str">
        <f>IF(Table13[[#This Row],[Zeit S&amp;R]]&gt;0,_xlfn.RANK.EQ(Table13[[#This Row],[Gesamt S&amp;R]],Table13[Gesamt S&amp;R],0)," ")</f>
        <v xml:space="preserve"> </v>
      </c>
      <c r="AB39" s="11"/>
      <c r="AC39" s="12" t="str">
        <f>IF(Table13[[#This Row],[Zeit LC]]&gt;0,_xlfn.RANK.EQ(Table13[[#This Row],[Punkte LC]],Table13[Punkte LC],0)," ")</f>
        <v xml:space="preserve"> </v>
      </c>
      <c r="AD39" s="9">
        <f>IF(Table13[[#This Row],[Zeit LC]]&gt;0,MIN(Table13[Zeit LC])/Table13[[#This Row],[Zeit LC]]*1000,0)</f>
        <v>0</v>
      </c>
      <c r="AE39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39" s="9">
        <f>(Table13[[#This Row],[Punkte LC]]+Table13[[#This Row],[Bonus LC]])</f>
        <v>0</v>
      </c>
      <c r="AG39" s="12" t="str">
        <f>IF(Table13[[#This Row],[Zeit LC]]&gt;0,_xlfn.RANK.EQ(Table13[[#This Row],[Gesamt LC]],Table13[Gesamt LC],0)," ")</f>
        <v xml:space="preserve"> </v>
      </c>
      <c r="AH39" s="15">
        <f>MAX( Z39,AF39)</f>
        <v>0</v>
      </c>
      <c r="AI39" s="11"/>
      <c r="AJ39" s="5" t="str">
        <f>IF(Table13[[#This Row],[Zeit BZF]]&gt;0,_xlfn.RANK.EQ(Table13[[#This Row],[Punkte BZF]],Table13[Punkte BZF],0)," ")</f>
        <v xml:space="preserve"> </v>
      </c>
      <c r="AK39" s="9">
        <f>IF(Table13[[#This Row],[Zeit BZF]]&gt;0,MIN(Table13[Zeit BZF])/Table13[[#This Row],[Zeit BZF]]*1000,0)</f>
        <v>0</v>
      </c>
      <c r="AL39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39" s="9">
        <f>(Table13[[#This Row],[Punkte BZF]]+Table13[[#This Row],[Bonus BZF]])</f>
        <v>0</v>
      </c>
      <c r="AN39" s="12" t="str">
        <f>IF(Table13[[#This Row],[Zeit BZF]]&gt;0,_xlfn.RANK.EQ(Table13[[#This Row],[Gesamt BZF]],Table13[Gesamt BZF],0)," ")</f>
        <v xml:space="preserve"> </v>
      </c>
      <c r="AO39" s="11">
        <v>2.2627314814814815E-2</v>
      </c>
      <c r="AP39" s="5">
        <f>IF(Table13[[#This Row],[Zeit EZF]]&gt;0,_xlfn.RANK.EQ(Table13[[#This Row],[Punkte EZF]],Table13[Punkte EZF],0)," ")</f>
        <v>16</v>
      </c>
      <c r="AQ39" s="9">
        <f>IF(Table13[[#This Row],[Zeit EZF]]&gt;0,MIN(Table13[Zeit EZF])/Table13[[#This Row],[Zeit EZF]]*1000,0)</f>
        <v>855.24296675191817</v>
      </c>
      <c r="AR39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39" s="9">
        <f>(Table13[[#This Row],[Punkte EZF]]+Table13[[#This Row],[Bonus EZF]])</f>
        <v>855.24296675191817</v>
      </c>
      <c r="AT39" s="12">
        <f>IF(Table13[[#This Row],[Zeit EZF]]&gt;0,_xlfn.RANK.EQ(Table13[[#This Row],[Gesamt EZF]],Table13[Gesamt EZF],0)," ")</f>
        <v>22</v>
      </c>
      <c r="AU39" s="17">
        <f t="shared" si="10"/>
        <v>855.24296675191817</v>
      </c>
    </row>
    <row r="40" spans="1:47" x14ac:dyDescent="0.25">
      <c r="A40" s="1" t="s">
        <v>126</v>
      </c>
      <c r="B40" s="1" t="s">
        <v>127</v>
      </c>
      <c r="C40" s="4">
        <v>1</v>
      </c>
      <c r="D40" s="4">
        <v>1985</v>
      </c>
      <c r="E40" s="4">
        <f>IF(Table13[[#This Row],[JG]],2026-Table13[[#This Row],[JG]],0)</f>
        <v>41</v>
      </c>
      <c r="F40" s="4"/>
      <c r="G40" s="26">
        <f>SUM(U40, AH40, AU40)</f>
        <v>850.27329192546586</v>
      </c>
      <c r="H40" s="24">
        <f>_xlfn.RANK.EQ(Table13[[#This Row],[Gesamtpunkte]],Table13[Gesamtpunkte],0)</f>
        <v>38</v>
      </c>
      <c r="I40" s="8"/>
      <c r="J40" s="4" t="str">
        <f>IF(Table13[[#This Row],[Zeit LSC]]&gt;0,_xlfn.RANK.EQ(Table13[[#This Row],[Punkte LSC]],Table13[Punkte LSC],0)," ")</f>
        <v xml:space="preserve"> </v>
      </c>
      <c r="K40" s="6">
        <f>IF(Table13[[#This Row],[Zeit LSC]]&gt;0,MIN(Table13[Zeit LSC])/Table13[[#This Row],[Zeit LSC]]*1000,0)</f>
        <v>0</v>
      </c>
      <c r="L40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0" s="6">
        <f>(Table13[[#This Row],[Punkte LSC]]+Table13[[#This Row],[Bonus LSC]])</f>
        <v>0</v>
      </c>
      <c r="N40" s="12" t="str">
        <f>IF(Table13[[#This Row],[Zeit LSC]]&gt;0,_xlfn.RANK.EQ(Table13[[#This Row],[Gesamt LSC]],Table13[Gesamt LSC],0)," ")</f>
        <v xml:space="preserve"> </v>
      </c>
      <c r="O40" s="8"/>
      <c r="P40" s="4" t="str">
        <f>IF(Table13[[#This Row],[Zeit LKC]]&gt;0,_xlfn.RANK.EQ(Table13[[#This Row],[Punkte LKC]],Table13[Punkte LKC],0)," ")</f>
        <v xml:space="preserve"> </v>
      </c>
      <c r="Q40" s="6">
        <f>IF(Table13[[#This Row],[Zeit LKC]]&gt;0,MIN(Table13[Zeit LKC])/Table13[[#This Row],[Zeit LKC]]*1000,0)</f>
        <v>0</v>
      </c>
      <c r="R40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0" s="6">
        <f>(Table13[[#This Row],[Punkte LKC]]+Table13[[#This Row],[Bonus LKC]])</f>
        <v>0</v>
      </c>
      <c r="T40" s="12" t="str">
        <f>IF(Table13[[#This Row],[Zeit LKC]]&gt;0,_xlfn.RANK.EQ(Table13[[#This Row],[Gesamt LKC]],Table13[Gesamt LKC],0)," ")</f>
        <v xml:space="preserve"> </v>
      </c>
      <c r="U40" s="15">
        <f>MAX( S40,M40)</f>
        <v>0</v>
      </c>
      <c r="V40" s="8">
        <v>3.726851851851852E-2</v>
      </c>
      <c r="W40" s="5">
        <f>IF(Table13[[#This Row],[Zeit S&amp;R]]&gt;0,_xlfn.RANK.EQ(Table13[[#This Row],[Punkte S&amp;R]],Table13[Punkte S&amp;R],0)," ")</f>
        <v>14</v>
      </c>
      <c r="X40" s="6">
        <f>IF(Table13[[#This Row],[Zeit S&amp;R]]&gt;0,MIN(Table13[Zeit S&amp;R])/Table13[[#This Row],[Zeit S&amp;R]]*1000,0)</f>
        <v>846.27329192546586</v>
      </c>
      <c r="Y40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4</v>
      </c>
      <c r="Z40" s="6">
        <f>(Table13[[#This Row],[Punkte S&amp;R]]+Table13[[#This Row],[Bonus S&amp;R]])</f>
        <v>850.27329192546586</v>
      </c>
      <c r="AA40" s="12">
        <f>IF(Table13[[#This Row],[Zeit S&amp;R]]&gt;0,_xlfn.RANK.EQ(Table13[[#This Row],[Gesamt S&amp;R]],Table13[Gesamt S&amp;R],0)," ")</f>
        <v>15</v>
      </c>
      <c r="AB40" s="11"/>
      <c r="AC40" s="12" t="str">
        <f>IF(Table13[[#This Row],[Zeit LC]]&gt;0,_xlfn.RANK.EQ(Table13[[#This Row],[Punkte LC]],Table13[Punkte LC],0)," ")</f>
        <v xml:space="preserve"> </v>
      </c>
      <c r="AD40" s="6">
        <f>IF(Table13[[#This Row],[Zeit LC]]&gt;0,MIN(Table13[Zeit LC])/Table13[[#This Row],[Zeit LC]]*1000,0)</f>
        <v>0</v>
      </c>
      <c r="AE40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0" s="6">
        <f>(Table13[[#This Row],[Punkte LC]]+Table13[[#This Row],[Bonus LC]])</f>
        <v>0</v>
      </c>
      <c r="AG40" s="12" t="str">
        <f>IF(Table13[[#This Row],[Zeit LC]]&gt;0,_xlfn.RANK.EQ(Table13[[#This Row],[Gesamt LC]],Table13[Gesamt LC],0)," ")</f>
        <v xml:space="preserve"> </v>
      </c>
      <c r="AH40" s="15">
        <f>MAX( Z40,AF40)</f>
        <v>850.27329192546586</v>
      </c>
      <c r="AI40" s="8"/>
      <c r="AJ40" s="5" t="str">
        <f>IF(Table13[[#This Row],[Zeit BZF]]&gt;0,_xlfn.RANK.EQ(Table13[[#This Row],[Punkte BZF]],Table13[Punkte BZF],0)," ")</f>
        <v xml:space="preserve"> </v>
      </c>
      <c r="AK40" s="9">
        <f>IF(Table13[[#This Row],[Zeit BZF]]&gt;0,MIN(Table13[Zeit BZF])/Table13[[#This Row],[Zeit BZF]]*1000,0)</f>
        <v>0</v>
      </c>
      <c r="AL40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0" s="6">
        <f>(Table13[[#This Row],[Punkte BZF]]+Table13[[#This Row],[Bonus BZF]])</f>
        <v>0</v>
      </c>
      <c r="AN40" s="12" t="str">
        <f>IF(Table13[[#This Row],[Zeit BZF]]&gt;0,_xlfn.RANK.EQ(Table13[[#This Row],[Gesamt BZF]],Table13[Gesamt BZF],0)," ")</f>
        <v xml:space="preserve"> </v>
      </c>
      <c r="AO40" s="8"/>
      <c r="AP40" s="5" t="str">
        <f>IF(Table13[[#This Row],[Zeit EZF]]&gt;0,_xlfn.RANK.EQ(Table13[[#This Row],[Punkte EZF]],Table13[Punkte EZF],0)," ")</f>
        <v xml:space="preserve"> </v>
      </c>
      <c r="AQ40" s="9">
        <f>IF(Table13[[#This Row],[Zeit EZF]]&gt;0,MIN(Table13[Zeit EZF])/Table13[[#This Row],[Zeit EZF]]*1000,0)</f>
        <v>0</v>
      </c>
      <c r="AR40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0" s="6">
        <f>(Table13[[#This Row],[Punkte EZF]]+Table13[[#This Row],[Bonus EZF]])</f>
        <v>0</v>
      </c>
      <c r="AT40" s="12" t="str">
        <f>IF(Table13[[#This Row],[Zeit EZF]]&gt;0,_xlfn.RANK.EQ(Table13[[#This Row],[Gesamt EZF]],Table13[Gesamt EZF],0)," ")</f>
        <v xml:space="preserve"> </v>
      </c>
      <c r="AU40" s="17">
        <f t="shared" si="10"/>
        <v>0</v>
      </c>
    </row>
    <row r="41" spans="1:47" x14ac:dyDescent="0.25">
      <c r="A41" s="1" t="s">
        <v>160</v>
      </c>
      <c r="B41" s="1" t="s">
        <v>93</v>
      </c>
      <c r="C41" s="5"/>
      <c r="D41" s="5">
        <v>1992</v>
      </c>
      <c r="E41" s="5">
        <f>IF(Table13[[#This Row],[JG]],2026-Table13[[#This Row],[JG]],0)</f>
        <v>34</v>
      </c>
      <c r="F41" s="5"/>
      <c r="G41" s="26">
        <f>SUM(U41, AH41, AU41)</f>
        <v>848.30035514967028</v>
      </c>
      <c r="H41" s="24">
        <f>_xlfn.RANK.EQ(Table13[[#This Row],[Gesamtpunkte]],Table13[Gesamtpunkte],0)</f>
        <v>39</v>
      </c>
      <c r="I41" s="11"/>
      <c r="J41" s="4" t="str">
        <f>IF(Table13[[#This Row],[Zeit LSC]]&gt;0,_xlfn.RANK.EQ(Table13[[#This Row],[Punkte LSC]],Table13[Punkte LSC],0)," ")</f>
        <v xml:space="preserve"> </v>
      </c>
      <c r="K41" s="9">
        <f>IF(Table13[[#This Row],[Zeit LSC]]&gt;0,MIN(Table13[Zeit LSC])/Table13[[#This Row],[Zeit LSC]]*1000,0)</f>
        <v>0</v>
      </c>
      <c r="L41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1" s="9">
        <f>(Table13[[#This Row],[Punkte LSC]]+Table13[[#This Row],[Bonus LSC]])</f>
        <v>0</v>
      </c>
      <c r="N41" s="12" t="str">
        <f>IF(Table13[[#This Row],[Zeit LSC]]&gt;0,_xlfn.RANK.EQ(Table13[[#This Row],[Gesamt LSC]],Table13[Gesamt LSC],0)," ")</f>
        <v xml:space="preserve"> </v>
      </c>
      <c r="O41" s="8"/>
      <c r="P41" s="5" t="str">
        <f>IF(Table13[[#This Row],[Zeit LKC]]&gt;0,_xlfn.RANK.EQ(Table13[[#This Row],[Punkte LKC]],Table13[Punkte LKC],0)," ")</f>
        <v xml:space="preserve"> </v>
      </c>
      <c r="Q41" s="6">
        <f>IF(Table13[[#This Row],[Zeit LKC]]&gt;0,MIN(Table13[Zeit LKC])/Table13[[#This Row],[Zeit LKC]]*1000,0)</f>
        <v>0</v>
      </c>
      <c r="R41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1" s="6">
        <f>(Table13[[#This Row],[Punkte LKC]]+Table13[[#This Row],[Bonus LKC]])</f>
        <v>0</v>
      </c>
      <c r="T41" s="12" t="str">
        <f>IF(Table13[[#This Row],[Zeit LKC]]&gt;0,_xlfn.RANK.EQ(Table13[[#This Row],[Gesamt LKC]],Table13[Gesamt LKC],0)," ")</f>
        <v xml:space="preserve"> </v>
      </c>
      <c r="U41" s="15">
        <f>MAX( S41,M41)</f>
        <v>0</v>
      </c>
      <c r="V41" s="11"/>
      <c r="W41" s="5" t="str">
        <f>IF(Table13[[#This Row],[Zeit S&amp;R]]&gt;0,_xlfn.RANK.EQ(Table13[[#This Row],[Punkte S&amp;R]],Table13[Punkte S&amp;R],0)," ")</f>
        <v xml:space="preserve"> </v>
      </c>
      <c r="X41" s="9">
        <f>IF(Table13[[#This Row],[Zeit S&amp;R]]&gt;0,MIN(Table13[Zeit S&amp;R])/Table13[[#This Row],[Zeit S&amp;R]]*1000,0)</f>
        <v>0</v>
      </c>
      <c r="Y41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1" s="9">
        <f>(Table13[[#This Row],[Punkte S&amp;R]]+Table13[[#This Row],[Bonus S&amp;R]])</f>
        <v>0</v>
      </c>
      <c r="AA41" s="12" t="str">
        <f>IF(Table13[[#This Row],[Zeit S&amp;R]]&gt;0,_xlfn.RANK.EQ(Table13[[#This Row],[Gesamt S&amp;R]],Table13[Gesamt S&amp;R],0)," ")</f>
        <v xml:space="preserve"> </v>
      </c>
      <c r="AB41" s="11"/>
      <c r="AC41" s="12" t="str">
        <f>IF(Table13[[#This Row],[Zeit LC]]&gt;0,_xlfn.RANK.EQ(Table13[[#This Row],[Punkte LC]],Table13[Punkte LC],0)," ")</f>
        <v xml:space="preserve"> </v>
      </c>
      <c r="AD41" s="9">
        <f>IF(Table13[[#This Row],[Zeit LC]]&gt;0,MIN(Table13[Zeit LC])/Table13[[#This Row],[Zeit LC]]*1000,0)</f>
        <v>0</v>
      </c>
      <c r="AE41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1" s="9">
        <f>(Table13[[#This Row],[Punkte LC]]+Table13[[#This Row],[Bonus LC]])</f>
        <v>0</v>
      </c>
      <c r="AG41" s="12" t="str">
        <f>IF(Table13[[#This Row],[Zeit LC]]&gt;0,_xlfn.RANK.EQ(Table13[[#This Row],[Gesamt LC]],Table13[Gesamt LC],0)," ")</f>
        <v xml:space="preserve"> </v>
      </c>
      <c r="AH41" s="15">
        <f>MAX( Z41,AF41)</f>
        <v>0</v>
      </c>
      <c r="AI41" s="11"/>
      <c r="AJ41" s="5" t="str">
        <f>IF(Table13[[#This Row],[Zeit BZF]]&gt;0,_xlfn.RANK.EQ(Table13[[#This Row],[Punkte BZF]],Table13[Punkte BZF],0)," ")</f>
        <v xml:space="preserve"> </v>
      </c>
      <c r="AK41" s="9">
        <f>IF(Table13[[#This Row],[Zeit BZF]]&gt;0,MIN(Table13[Zeit BZF])/Table13[[#This Row],[Zeit BZF]]*1000,0)</f>
        <v>0</v>
      </c>
      <c r="AL41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1" s="9">
        <f>(Table13[[#This Row],[Punkte BZF]]+Table13[[#This Row],[Bonus BZF]])</f>
        <v>0</v>
      </c>
      <c r="AN41" s="12" t="str">
        <f>IF(Table13[[#This Row],[Zeit BZF]]&gt;0,_xlfn.RANK.EQ(Table13[[#This Row],[Gesamt BZF]],Table13[Gesamt BZF],0)," ")</f>
        <v xml:space="preserve"> </v>
      </c>
      <c r="AO41" s="11">
        <v>2.2812499999999999E-2</v>
      </c>
      <c r="AP41" s="5">
        <f>IF(Table13[[#This Row],[Zeit EZF]]&gt;0,_xlfn.RANK.EQ(Table13[[#This Row],[Punkte EZF]],Table13[Punkte EZF],0)," ")</f>
        <v>19</v>
      </c>
      <c r="AQ41" s="9">
        <f>IF(Table13[[#This Row],[Zeit EZF]]&gt;0,MIN(Table13[Zeit EZF])/Table13[[#This Row],[Zeit EZF]]*1000,0)</f>
        <v>848.30035514967028</v>
      </c>
      <c r="AR41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1" s="9">
        <f>(Table13[[#This Row],[Punkte EZF]]+Table13[[#This Row],[Bonus EZF]])</f>
        <v>848.30035514967028</v>
      </c>
      <c r="AT41" s="12">
        <f>IF(Table13[[#This Row],[Zeit EZF]]&gt;0,_xlfn.RANK.EQ(Table13[[#This Row],[Gesamt EZF]],Table13[Gesamt EZF],0)," ")</f>
        <v>23</v>
      </c>
      <c r="AU41" s="17">
        <f t="shared" ref="AU41:AU42" si="12">MAX( AM41,AS41)</f>
        <v>848.30035514967028</v>
      </c>
    </row>
    <row r="42" spans="1:47" x14ac:dyDescent="0.25">
      <c r="A42" s="1" t="s">
        <v>123</v>
      </c>
      <c r="B42" s="1" t="s">
        <v>90</v>
      </c>
      <c r="C42" s="5"/>
      <c r="D42" s="5">
        <v>1989</v>
      </c>
      <c r="E42" s="5">
        <f>IF(Table13[[#This Row],[JG]],2026-Table13[[#This Row],[JG]],0)</f>
        <v>37</v>
      </c>
      <c r="F42" s="4" t="s">
        <v>34</v>
      </c>
      <c r="G42" s="26">
        <f>SUM(U42, AH42, AU42)</f>
        <v>837.36497794005777</v>
      </c>
      <c r="H42" s="24">
        <f>_xlfn.RANK.EQ(Table13[[#This Row],[Gesamtpunkte]],Table13[Gesamtpunkte],0)</f>
        <v>40</v>
      </c>
      <c r="I42" s="11"/>
      <c r="J42" s="4" t="str">
        <f>IF(Table13[[#This Row],[Zeit LSC]]&gt;0,_xlfn.RANK.EQ(Table13[[#This Row],[Punkte LSC]],Table13[Punkte LSC],0)," ")</f>
        <v xml:space="preserve"> </v>
      </c>
      <c r="K42" s="9">
        <f>IF(Table13[[#This Row],[Zeit LSC]]&gt;0,MIN(Table13[Zeit LSC])/Table13[[#This Row],[Zeit LSC]]*1000,0)</f>
        <v>0</v>
      </c>
      <c r="L42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2" s="9">
        <f>(Table13[[#This Row],[Punkte LSC]]+Table13[[#This Row],[Bonus LSC]])</f>
        <v>0</v>
      </c>
      <c r="N42" s="12" t="str">
        <f>IF(Table13[[#This Row],[Zeit LSC]]&gt;0,_xlfn.RANK.EQ(Table13[[#This Row],[Gesamt LSC]],Table13[Gesamt LSC],0)," ")</f>
        <v xml:space="preserve"> </v>
      </c>
      <c r="O42" s="8"/>
      <c r="P42" s="5" t="str">
        <f>IF(Table13[[#This Row],[Zeit LKC]]&gt;0,_xlfn.RANK.EQ(Table13[[#This Row],[Punkte LKC]],Table13[Punkte LKC],0)," ")</f>
        <v xml:space="preserve"> </v>
      </c>
      <c r="Q42" s="6">
        <f>IF(Table13[[#This Row],[Zeit LKC]]&gt;0,MIN(Table13[Zeit LKC])/Table13[[#This Row],[Zeit LKC]]*1000,0)</f>
        <v>0</v>
      </c>
      <c r="R42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2" s="6">
        <f>(Table13[[#This Row],[Punkte LKC]]+Table13[[#This Row],[Bonus LKC]])</f>
        <v>0</v>
      </c>
      <c r="T42" s="12" t="str">
        <f>IF(Table13[[#This Row],[Zeit LKC]]&gt;0,_xlfn.RANK.EQ(Table13[[#This Row],[Gesamt LKC]],Table13[Gesamt LKC],0)," ")</f>
        <v xml:space="preserve"> </v>
      </c>
      <c r="U42" s="15">
        <f>MAX( S42,M42)</f>
        <v>0</v>
      </c>
      <c r="V42" s="11"/>
      <c r="W42" s="5" t="str">
        <f>IF(Table13[[#This Row],[Zeit S&amp;R]]&gt;0,_xlfn.RANK.EQ(Table13[[#This Row],[Punkte S&amp;R]],Table13[Punkte S&amp;R],0)," ")</f>
        <v xml:space="preserve"> </v>
      </c>
      <c r="X42" s="9">
        <f>IF(Table13[[#This Row],[Zeit S&amp;R]]&gt;0,MIN(Table13[Zeit S&amp;R])/Table13[[#This Row],[Zeit S&amp;R]]*1000,0)</f>
        <v>0</v>
      </c>
      <c r="Y42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2" s="9">
        <f>(Table13[[#This Row],[Punkte S&amp;R]]+Table13[[#This Row],[Bonus S&amp;R]])</f>
        <v>0</v>
      </c>
      <c r="AA42" s="12" t="str">
        <f>IF(Table13[[#This Row],[Zeit S&amp;R]]&gt;0,_xlfn.RANK.EQ(Table13[[#This Row],[Gesamt S&amp;R]],Table13[Gesamt S&amp;R],0)," ")</f>
        <v xml:space="preserve"> </v>
      </c>
      <c r="AB42" s="11">
        <v>7.6076388888888888E-2</v>
      </c>
      <c r="AC42" s="12">
        <f>IF(Table13[[#This Row],[Zeit LC]]&gt;0,_xlfn.RANK.EQ(Table13[[#This Row],[Punkte LC]],Table13[Punkte LC],0)," ")</f>
        <v>7</v>
      </c>
      <c r="AD42" s="9">
        <f>IF(Table13[[#This Row],[Zeit LC]]&gt;0,MIN(Table13[Zeit LC])/Table13[[#This Row],[Zeit LC]]*1000,0)</f>
        <v>837.36497794005777</v>
      </c>
      <c r="AE42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2" s="9">
        <f>(Table13[[#This Row],[Punkte LC]]+Table13[[#This Row],[Bonus LC]])</f>
        <v>837.36497794005777</v>
      </c>
      <c r="AG42" s="12">
        <f>IF(Table13[[#This Row],[Zeit LC]]&gt;0,_xlfn.RANK.EQ(Table13[[#This Row],[Gesamt LC]],Table13[Gesamt LC],0)," ")</f>
        <v>8</v>
      </c>
      <c r="AH42" s="15">
        <f>MAX( Z42,AF42)</f>
        <v>837.36497794005777</v>
      </c>
      <c r="AI42" s="11"/>
      <c r="AJ42" s="5" t="str">
        <f>IF(Table13[[#This Row],[Zeit BZF]]&gt;0,_xlfn.RANK.EQ(Table13[[#This Row],[Punkte BZF]],Table13[Punkte BZF],0)," ")</f>
        <v xml:space="preserve"> </v>
      </c>
      <c r="AK42" s="9">
        <f>IF(Table13[[#This Row],[Zeit BZF]]&gt;0,MIN(Table13[Zeit BZF])/Table13[[#This Row],[Zeit BZF]]*1000,0)</f>
        <v>0</v>
      </c>
      <c r="AL42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2" s="9">
        <f>(Table13[[#This Row],[Punkte BZF]]+Table13[[#This Row],[Bonus BZF]])</f>
        <v>0</v>
      </c>
      <c r="AN42" s="12" t="str">
        <f>IF(Table13[[#This Row],[Zeit BZF]]&gt;0,_xlfn.RANK.EQ(Table13[[#This Row],[Gesamt BZF]],Table13[Gesamt BZF],0)," ")</f>
        <v xml:space="preserve"> </v>
      </c>
      <c r="AO42" s="11"/>
      <c r="AP42" s="5" t="str">
        <f>IF(Table13[[#This Row],[Zeit EZF]]&gt;0,_xlfn.RANK.EQ(Table13[[#This Row],[Punkte EZF]],Table13[Punkte EZF],0)," ")</f>
        <v xml:space="preserve"> </v>
      </c>
      <c r="AQ42" s="9">
        <f>IF(Table13[[#This Row],[Zeit EZF]]&gt;0,MIN(Table13[Zeit EZF])/Table13[[#This Row],[Zeit EZF]]*1000,0)</f>
        <v>0</v>
      </c>
      <c r="AR42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2" s="9">
        <f>(Table13[[#This Row],[Punkte EZF]]+Table13[[#This Row],[Bonus EZF]])</f>
        <v>0</v>
      </c>
      <c r="AT42" s="12" t="str">
        <f>IF(Table13[[#This Row],[Zeit EZF]]&gt;0,_xlfn.RANK.EQ(Table13[[#This Row],[Gesamt EZF]],Table13[Gesamt EZF],0)," ")</f>
        <v xml:space="preserve"> </v>
      </c>
      <c r="AU42" s="17">
        <f t="shared" si="12"/>
        <v>0</v>
      </c>
    </row>
    <row r="43" spans="1:47" x14ac:dyDescent="0.25">
      <c r="A43" s="1" t="s">
        <v>97</v>
      </c>
      <c r="B43" s="1" t="s">
        <v>125</v>
      </c>
      <c r="C43" s="4">
        <v>1</v>
      </c>
      <c r="D43" s="4">
        <v>1972</v>
      </c>
      <c r="E43" s="4">
        <f>IF(Table13[[#This Row],[JG]],2026-Table13[[#This Row],[JG]],0)</f>
        <v>54</v>
      </c>
      <c r="F43" s="4"/>
      <c r="G43" s="26">
        <f>SUM(U43, AH43, AU43)</f>
        <v>827.46464646464642</v>
      </c>
      <c r="H43" s="24">
        <f>_xlfn.RANK.EQ(Table13[[#This Row],[Gesamtpunkte]],Table13[Gesamtpunkte],0)</f>
        <v>41</v>
      </c>
      <c r="I43" s="8">
        <v>2.75E-2</v>
      </c>
      <c r="J43" s="4">
        <f>IF(Table13[[#This Row],[Zeit LSC]]&gt;0,_xlfn.RANK.EQ(Table13[[#This Row],[Punkte LSC]],Table13[Punkte LSC],0)," ")</f>
        <v>4</v>
      </c>
      <c r="K43" s="6">
        <f>IF(Table13[[#This Row],[Zeit LSC]]&gt;0,MIN(Table13[Zeit LSC])/Table13[[#This Row],[Zeit LSC]]*1000,0)</f>
        <v>771.46464646464642</v>
      </c>
      <c r="L43" s="7">
        <f>IF(Table13[[#This Row],[Zeit LSC]]&gt;0,SUM(IF(Table13[[#This Row],[Alter]]&gt;40,(Table13[[#This Row],[Alter]]-40)*4,0),IF(AND(Table13[[#This Row],[Alter]]&lt;20,Table13[[#This Row],[Alter]]&gt;0),(20-Table13[[#This Row],[Alter]])*10,0)),0)</f>
        <v>56</v>
      </c>
      <c r="M43" s="6">
        <f>(Table13[[#This Row],[Punkte LSC]]+Table13[[#This Row],[Bonus LSC]])</f>
        <v>827.46464646464642</v>
      </c>
      <c r="N43" s="12">
        <f>IF(Table13[[#This Row],[Zeit LSC]]&gt;0,_xlfn.RANK.EQ(Table13[[#This Row],[Gesamt LSC]],Table13[Gesamt LSC],0)," ")</f>
        <v>4</v>
      </c>
      <c r="O43" s="8"/>
      <c r="P43" s="4" t="str">
        <f>IF(Table13[[#This Row],[Zeit LKC]]&gt;0,_xlfn.RANK.EQ(Table13[[#This Row],[Punkte LKC]],Table13[Punkte LKC],0)," ")</f>
        <v xml:space="preserve"> </v>
      </c>
      <c r="Q43" s="6">
        <f>IF(Table13[[#This Row],[Zeit LKC]]&gt;0,MIN(Table13[Zeit LKC])/Table13[[#This Row],[Zeit LKC]]*1000,0)</f>
        <v>0</v>
      </c>
      <c r="R43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3" s="6">
        <f>(Table13[[#This Row],[Punkte LKC]]+Table13[[#This Row],[Bonus LKC]])</f>
        <v>0</v>
      </c>
      <c r="T43" s="12" t="str">
        <f>IF(Table13[[#This Row],[Zeit LKC]]&gt;0,_xlfn.RANK.EQ(Table13[[#This Row],[Gesamt LKC]],Table13[Gesamt LKC],0)," ")</f>
        <v xml:space="preserve"> </v>
      </c>
      <c r="U43" s="15">
        <f>MAX( S43,M43)</f>
        <v>827.46464646464642</v>
      </c>
      <c r="V43" s="8"/>
      <c r="W43" s="5" t="str">
        <f>IF(Table13[[#This Row],[Zeit S&amp;R]]&gt;0,_xlfn.RANK.EQ(Table13[[#This Row],[Punkte S&amp;R]],Table13[Punkte S&amp;R],0)," ")</f>
        <v xml:space="preserve"> </v>
      </c>
      <c r="X43" s="6">
        <f>IF(Table13[[#This Row],[Zeit S&amp;R]]&gt;0,MIN(Table13[Zeit S&amp;R])/Table13[[#This Row],[Zeit S&amp;R]]*1000,0)</f>
        <v>0</v>
      </c>
      <c r="Y43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3" s="6">
        <f>(Table13[[#This Row],[Punkte S&amp;R]]+Table13[[#This Row],[Bonus S&amp;R]])</f>
        <v>0</v>
      </c>
      <c r="AA43" s="12" t="str">
        <f>IF(Table13[[#This Row],[Zeit S&amp;R]]&gt;0,_xlfn.RANK.EQ(Table13[[#This Row],[Gesamt S&amp;R]],Table13[Gesamt S&amp;R],0)," ")</f>
        <v xml:space="preserve"> </v>
      </c>
      <c r="AB43" s="8"/>
      <c r="AC43" s="12" t="str">
        <f>IF(Table13[[#This Row],[Zeit LC]]&gt;0,_xlfn.RANK.EQ(Table13[[#This Row],[Punkte LC]],Table13[Punkte LC],0)," ")</f>
        <v xml:space="preserve"> </v>
      </c>
      <c r="AD43" s="6">
        <f>IF(Table13[[#This Row],[Zeit LC]]&gt;0,MIN(Table13[Zeit LC])/Table13[[#This Row],[Zeit LC]]*1000,0)</f>
        <v>0</v>
      </c>
      <c r="AE43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3" s="6">
        <f>(Table13[[#This Row],[Punkte LC]]+Table13[[#This Row],[Bonus LC]])</f>
        <v>0</v>
      </c>
      <c r="AG43" s="12" t="str">
        <f>IF(Table13[[#This Row],[Zeit LC]]&gt;0,_xlfn.RANK.EQ(Table13[[#This Row],[Gesamt LC]],Table13[Gesamt LC],0)," ")</f>
        <v xml:space="preserve"> </v>
      </c>
      <c r="AH43" s="15">
        <f>MAX( Z43,AF43)</f>
        <v>0</v>
      </c>
      <c r="AI43" s="8"/>
      <c r="AJ43" s="5" t="str">
        <f>IF(Table13[[#This Row],[Zeit BZF]]&gt;0,_xlfn.RANK.EQ(Table13[[#This Row],[Punkte BZF]],Table13[Punkte BZF],0)," ")</f>
        <v xml:space="preserve"> </v>
      </c>
      <c r="AK43" s="9">
        <f>IF(Table13[[#This Row],[Zeit BZF]]&gt;0,MIN(Table13[Zeit BZF])/Table13[[#This Row],[Zeit BZF]]*1000,0)</f>
        <v>0</v>
      </c>
      <c r="AL43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3" s="6">
        <f>(Table13[[#This Row],[Punkte BZF]]+Table13[[#This Row],[Bonus BZF]])</f>
        <v>0</v>
      </c>
      <c r="AN43" s="12" t="str">
        <f>IF(Table13[[#This Row],[Zeit BZF]]&gt;0,_xlfn.RANK.EQ(Table13[[#This Row],[Gesamt BZF]],Table13[Gesamt BZF],0)," ")</f>
        <v xml:space="preserve"> </v>
      </c>
      <c r="AO43" s="8"/>
      <c r="AP43" s="5" t="str">
        <f>IF(Table13[[#This Row],[Zeit EZF]]&gt;0,_xlfn.RANK.EQ(Table13[[#This Row],[Punkte EZF]],Table13[Punkte EZF],0)," ")</f>
        <v xml:space="preserve"> </v>
      </c>
      <c r="AQ43" s="9">
        <f>IF(Table13[[#This Row],[Zeit EZF]]&gt;0,MIN(Table13[Zeit EZF])/Table13[[#This Row],[Zeit EZF]]*1000,0)</f>
        <v>0</v>
      </c>
      <c r="AR43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3" s="6">
        <f>(Table13[[#This Row],[Punkte EZF]]+Table13[[#This Row],[Bonus EZF]])</f>
        <v>0</v>
      </c>
      <c r="AT43" s="12" t="str">
        <f>IF(Table13[[#This Row],[Zeit EZF]]&gt;0,_xlfn.RANK.EQ(Table13[[#This Row],[Gesamt EZF]],Table13[Gesamt EZF],0)," ")</f>
        <v xml:space="preserve"> </v>
      </c>
      <c r="AU43" s="17">
        <f t="shared" si="10"/>
        <v>0</v>
      </c>
    </row>
    <row r="44" spans="1:47" x14ac:dyDescent="0.25">
      <c r="A44" s="1" t="s">
        <v>87</v>
      </c>
      <c r="B44" s="1" t="s">
        <v>74</v>
      </c>
      <c r="C44" s="4"/>
      <c r="D44" s="4">
        <v>1982</v>
      </c>
      <c r="E44" s="4">
        <f>IF(Table13[[#This Row],[JG]],2026-Table13[[#This Row],[JG]],0)</f>
        <v>44</v>
      </c>
      <c r="F44" s="4"/>
      <c r="G44" s="26">
        <f>SUM(U44, AH44, AU44)</f>
        <v>811.72068815960677</v>
      </c>
      <c r="H44" s="24">
        <f>_xlfn.RANK.EQ(Table13[[#This Row],[Gesamtpunkte]],Table13[Gesamtpunkte],0)</f>
        <v>42</v>
      </c>
      <c r="I44" s="8"/>
      <c r="J44" s="4" t="str">
        <f>IF(Table13[[#This Row],[Zeit LSC]]&gt;0,_xlfn.RANK.EQ(Table13[[#This Row],[Punkte LSC]],Table13[Punkte LSC],0)," ")</f>
        <v xml:space="preserve"> </v>
      </c>
      <c r="K44" s="6">
        <f>IF(Table13[[#This Row],[Zeit LSC]]&gt;0,MIN(Table13[Zeit LSC])/Table13[[#This Row],[Zeit LSC]]*1000,0)</f>
        <v>0</v>
      </c>
      <c r="L44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4" s="6">
        <f>(Table13[[#This Row],[Punkte LSC]]+Table13[[#This Row],[Bonus LSC]])</f>
        <v>0</v>
      </c>
      <c r="N44" s="12" t="str">
        <f>IF(Table13[[#This Row],[Zeit LSC]]&gt;0,_xlfn.RANK.EQ(Table13[[#This Row],[Gesamt LSC]],Table13[Gesamt LSC],0)," ")</f>
        <v xml:space="preserve"> </v>
      </c>
      <c r="O44" s="8"/>
      <c r="P44" s="4" t="str">
        <f>IF(Table13[[#This Row],[Zeit LKC]]&gt;0,_xlfn.RANK.EQ(Table13[[#This Row],[Punkte LKC]],Table13[Punkte LKC],0)," ")</f>
        <v xml:space="preserve"> </v>
      </c>
      <c r="Q44" s="6">
        <f>IF(Table13[[#This Row],[Zeit LKC]]&gt;0,MIN(Table13[Zeit LKC])/Table13[[#This Row],[Zeit LKC]]*1000,0)</f>
        <v>0</v>
      </c>
      <c r="R4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4" s="6">
        <f>(Table13[[#This Row],[Punkte LKC]]+Table13[[#This Row],[Bonus LKC]])</f>
        <v>0</v>
      </c>
      <c r="T44" s="12" t="str">
        <f>IF(Table13[[#This Row],[Zeit LKC]]&gt;0,_xlfn.RANK.EQ(Table13[[#This Row],[Gesamt LKC]],Table13[Gesamt LKC],0)," ")</f>
        <v xml:space="preserve"> </v>
      </c>
      <c r="U44" s="15">
        <f>MAX( S44,M44)</f>
        <v>0</v>
      </c>
      <c r="V44" s="8"/>
      <c r="W44" s="5" t="str">
        <f>IF(Table13[[#This Row],[Zeit S&amp;R]]&gt;0,_xlfn.RANK.EQ(Table13[[#This Row],[Punkte S&amp;R]],Table13[Punkte S&amp;R],0)," ")</f>
        <v xml:space="preserve"> </v>
      </c>
      <c r="X44" s="6">
        <f>IF(Table13[[#This Row],[Zeit S&amp;R]]&gt;0,MIN(Table13[Zeit S&amp;R])/Table13[[#This Row],[Zeit S&amp;R]]*1000,0)</f>
        <v>0</v>
      </c>
      <c r="Y44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4" s="6">
        <f>(Table13[[#This Row],[Punkte S&amp;R]]+Table13[[#This Row],[Bonus S&amp;R]])</f>
        <v>0</v>
      </c>
      <c r="AA44" s="12" t="str">
        <f>IF(Table13[[#This Row],[Zeit S&amp;R]]&gt;0,_xlfn.RANK.EQ(Table13[[#This Row],[Gesamt S&amp;R]],Table13[Gesamt S&amp;R],0)," ")</f>
        <v xml:space="preserve"> </v>
      </c>
      <c r="AB44" s="8">
        <v>8.0057870370370376E-2</v>
      </c>
      <c r="AC44" s="12">
        <f>IF(Table13[[#This Row],[Zeit LC]]&gt;0,_xlfn.RANK.EQ(Table13[[#This Row],[Punkte LC]],Table13[Punkte LC],0)," ")</f>
        <v>8</v>
      </c>
      <c r="AD44" s="6">
        <f>IF(Table13[[#This Row],[Zeit LC]]&gt;0,MIN(Table13[Zeit LC])/Table13[[#This Row],[Zeit LC]]*1000,0)</f>
        <v>795.72068815960677</v>
      </c>
      <c r="AE44" s="6">
        <f>IF(Table13[[#This Row],[Zeit LC]]&gt;0,SUM(IF(Table13[[#This Row],[Alter]]&gt;40,(Table13[[#This Row],[Alter]]-40)*4,0),IF(AND(Table13[[#This Row],[Alter]]&lt;20,Table13[[#This Row],[Alter]]&gt;0),(20-Table13[[#This Row],[Alter]])*10,0)),0)</f>
        <v>16</v>
      </c>
      <c r="AF44" s="6">
        <f>(Table13[[#This Row],[Punkte LC]]+Table13[[#This Row],[Bonus LC]])</f>
        <v>811.72068815960677</v>
      </c>
      <c r="AG44" s="12">
        <f>IF(Table13[[#This Row],[Zeit LC]]&gt;0,_xlfn.RANK.EQ(Table13[[#This Row],[Gesamt LC]],Table13[Gesamt LC],0)," ")</f>
        <v>9</v>
      </c>
      <c r="AH44" s="15">
        <f>MAX( Z44,AF44)</f>
        <v>811.72068815960677</v>
      </c>
      <c r="AI44" s="8"/>
      <c r="AJ44" s="5" t="str">
        <f>IF(Table13[[#This Row],[Zeit BZF]]&gt;0,_xlfn.RANK.EQ(Table13[[#This Row],[Punkte BZF]],Table13[Punkte BZF],0)," ")</f>
        <v xml:space="preserve"> </v>
      </c>
      <c r="AK44" s="9">
        <f>IF(Table13[[#This Row],[Zeit BZF]]&gt;0,MIN(Table13[Zeit BZF])/Table13[[#This Row],[Zeit BZF]]*1000,0)</f>
        <v>0</v>
      </c>
      <c r="AL44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4" s="6">
        <f>(Table13[[#This Row],[Punkte BZF]]+Table13[[#This Row],[Bonus BZF]])</f>
        <v>0</v>
      </c>
      <c r="AN44" s="12" t="str">
        <f>IF(Table13[[#This Row],[Zeit BZF]]&gt;0,_xlfn.RANK.EQ(Table13[[#This Row],[Gesamt BZF]],Table13[Gesamt BZF],0)," ")</f>
        <v xml:space="preserve"> </v>
      </c>
      <c r="AO44" s="8"/>
      <c r="AP44" s="5" t="str">
        <f>IF(Table13[[#This Row],[Zeit EZF]]&gt;0,_xlfn.RANK.EQ(Table13[[#This Row],[Punkte EZF]],Table13[Punkte EZF],0)," ")</f>
        <v xml:space="preserve"> </v>
      </c>
      <c r="AQ44" s="9">
        <f>IF(Table13[[#This Row],[Zeit EZF]]&gt;0,MIN(Table13[Zeit EZF])/Table13[[#This Row],[Zeit EZF]]*1000,0)</f>
        <v>0</v>
      </c>
      <c r="AR44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4" s="6">
        <f>(Table13[[#This Row],[Punkte EZF]]+Table13[[#This Row],[Bonus EZF]])</f>
        <v>0</v>
      </c>
      <c r="AT44" s="12" t="str">
        <f>IF(Table13[[#This Row],[Zeit EZF]]&gt;0,_xlfn.RANK.EQ(Table13[[#This Row],[Gesamt EZF]],Table13[Gesamt EZF],0)," ")</f>
        <v xml:space="preserve"> </v>
      </c>
      <c r="AU44" s="17">
        <f t="shared" si="10"/>
        <v>0</v>
      </c>
    </row>
    <row r="45" spans="1:47" x14ac:dyDescent="0.25">
      <c r="A45" s="1" t="s">
        <v>165</v>
      </c>
      <c r="B45" s="1" t="s">
        <v>110</v>
      </c>
      <c r="C45" s="5"/>
      <c r="D45" s="5">
        <v>1981</v>
      </c>
      <c r="E45" s="5">
        <f>IF(Table13[[#This Row],[JG]],2026-Table13[[#This Row],[JG]],0)</f>
        <v>45</v>
      </c>
      <c r="F45" s="5"/>
      <c r="G45" s="26">
        <f>SUM(U45, AH45, AU45)</f>
        <v>778.78121032585693</v>
      </c>
      <c r="H45" s="24">
        <f>_xlfn.RANK.EQ(Table13[[#This Row],[Gesamtpunkte]],Table13[Gesamtpunkte],0)</f>
        <v>43</v>
      </c>
      <c r="I45" s="19"/>
      <c r="J45" s="20" t="str">
        <f>IF(Table13[[#This Row],[Zeit LSC]]&gt;0,_xlfn.RANK.EQ(Table13[[#This Row],[Punkte LSC]],Table13[Punkte LSC],0)," ")</f>
        <v xml:space="preserve"> </v>
      </c>
      <c r="K45" s="21">
        <f>IF(Table13[[#This Row],[Zeit LSC]]&gt;0,MIN(Table13[Zeit LSC])/Table13[[#This Row],[Zeit LSC]]*1000,0)</f>
        <v>0</v>
      </c>
      <c r="L45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5" s="21">
        <f>(Table13[[#This Row],[Punkte LSC]]+Table13[[#This Row],[Bonus LSC]])</f>
        <v>0</v>
      </c>
      <c r="N45" s="23" t="str">
        <f>IF(Table13[[#This Row],[Zeit LSC]]&gt;0,_xlfn.RANK.EQ(Table13[[#This Row],[Gesamt LSC]],Table13[Gesamt LSC],0)," ")</f>
        <v xml:space="preserve"> </v>
      </c>
      <c r="O45" s="5"/>
      <c r="P45" s="5" t="str">
        <f>IF(Table13[[#This Row],[Zeit LKC]]&gt;0,_xlfn.RANK.EQ(Table13[[#This Row],[Punkte LKC]],Table13[Punkte LKC],0)," ")</f>
        <v xml:space="preserve"> </v>
      </c>
      <c r="Q45" s="6">
        <f>IF(Table13[[#This Row],[Zeit LKC]]&gt;0,MIN(Table13[Zeit LKC])/Table13[[#This Row],[Zeit LKC]]*1000,0)</f>
        <v>0</v>
      </c>
      <c r="R45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5" s="9">
        <f>(Table13[[#This Row],[Punkte LKC]]+Table13[[#This Row],[Bonus LKC]])</f>
        <v>0</v>
      </c>
      <c r="T45" s="13" t="str">
        <f>IF(Table13[[#This Row],[Zeit LKC]]&gt;0,_xlfn.RANK.EQ(Table13[[#This Row],[Gesamt LKC]],Table13[Gesamt LKC],0)," ")</f>
        <v xml:space="preserve"> </v>
      </c>
      <c r="U45" s="15">
        <f>MAX( S45,M45)</f>
        <v>0</v>
      </c>
      <c r="V45" s="11"/>
      <c r="W45" s="5" t="str">
        <f>IF(Table13[[#This Row],[Zeit S&amp;R]]&gt;0,_xlfn.RANK.EQ(Table13[[#This Row],[Punkte S&amp;R]],Table13[Punkte S&amp;R],0)," ")</f>
        <v xml:space="preserve"> </v>
      </c>
      <c r="X45" s="9">
        <f>IF(Table13[[#This Row],[Zeit S&amp;R]]&gt;0,MIN(Table13[Zeit S&amp;R])/Table13[[#This Row],[Zeit S&amp;R]]*1000,0)</f>
        <v>0</v>
      </c>
      <c r="Y45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5" s="9">
        <f>(Table13[[#This Row],[Punkte S&amp;R]]+Table13[[#This Row],[Bonus S&amp;R]])</f>
        <v>0</v>
      </c>
      <c r="AA45" s="13" t="str">
        <f>IF(Table13[[#This Row],[Zeit S&amp;R]]&gt;0,_xlfn.RANK.EQ(Table13[[#This Row],[Gesamt S&amp;R]],Table13[Gesamt S&amp;R],0)," ")</f>
        <v xml:space="preserve"> </v>
      </c>
      <c r="AB45" s="11"/>
      <c r="AC45" s="13" t="str">
        <f>IF(Table13[[#This Row],[Zeit LC]]&gt;0,_xlfn.RANK.EQ(Table13[[#This Row],[Punkte LC]],Table13[Punkte LC],0)," ")</f>
        <v xml:space="preserve"> </v>
      </c>
      <c r="AD45" s="9">
        <f>IF(Table13[[#This Row],[Zeit LC]]&gt;0,MIN(Table13[Zeit LC])/Table13[[#This Row],[Zeit LC]]*1000,0)</f>
        <v>0</v>
      </c>
      <c r="AE45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5" s="9">
        <f>(Table13[[#This Row],[Punkte LC]]+Table13[[#This Row],[Bonus LC]])</f>
        <v>0</v>
      </c>
      <c r="AG45" s="13" t="str">
        <f>IF(Table13[[#This Row],[Zeit LC]]&gt;0,_xlfn.RANK.EQ(Table13[[#This Row],[Gesamt LC]],Table13[Gesamt LC],0)," ")</f>
        <v xml:space="preserve"> </v>
      </c>
      <c r="AH45" s="15">
        <f>MAX( Z45,AF45)</f>
        <v>0</v>
      </c>
      <c r="AI45" s="11">
        <v>2.7349537037037037E-2</v>
      </c>
      <c r="AJ45" s="5">
        <f>IF(Table13[[#This Row],[Zeit BZF]]&gt;0,_xlfn.RANK.EQ(Table13[[#This Row],[Punkte BZF]],Table13[Punkte BZF],0)," ")</f>
        <v>5</v>
      </c>
      <c r="AK45" s="9">
        <f>IF(Table13[[#This Row],[Zeit BZF]]&gt;0,MIN(Table13[Zeit BZF])/Table13[[#This Row],[Zeit BZF]]*1000,0)</f>
        <v>758.78121032585693</v>
      </c>
      <c r="AL45" s="10">
        <f>IF(Table13[[#This Row],[Zeit BZF]]&gt;0,SUM(IF(Table13[[#This Row],[Alter]]&gt;40,(Table13[[#This Row],[Alter]]-40)*4,0),IF(AND(Table13[[#This Row],[Alter]]&lt;20,Table13[[#This Row],[Alter]]&gt;0),(20-Table13[[#This Row],[Alter]])*10,0)),0)</f>
        <v>20</v>
      </c>
      <c r="AM45" s="9">
        <f>(Table13[[#This Row],[Punkte BZF]]+Table13[[#This Row],[Bonus BZF]])</f>
        <v>778.78121032585693</v>
      </c>
      <c r="AN45" s="13">
        <f>IF(Table13[[#This Row],[Zeit BZF]]&gt;0,_xlfn.RANK.EQ(Table13[[#This Row],[Gesamt BZF]],Table13[Gesamt BZF],0)," ")</f>
        <v>6</v>
      </c>
      <c r="AO45" s="11"/>
      <c r="AP45" s="5" t="str">
        <f>IF(Table13[[#This Row],[Zeit EZF]]&gt;0,_xlfn.RANK.EQ(Table13[[#This Row],[Punkte EZF]],Table13[Punkte EZF],0)," ")</f>
        <v xml:space="preserve"> </v>
      </c>
      <c r="AQ45" s="9">
        <f>IF(Table13[[#This Row],[Zeit EZF]]&gt;0,MIN(Table13[Zeit EZF])/Table13[[#This Row],[Zeit EZF]]*1000,0)</f>
        <v>0</v>
      </c>
      <c r="AR45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5" s="9">
        <f>(Table13[[#This Row],[Punkte EZF]]+Table13[[#This Row],[Bonus EZF]])</f>
        <v>0</v>
      </c>
      <c r="AT45" s="13" t="str">
        <f>IF(Table13[[#This Row],[Zeit EZF]]&gt;0,_xlfn.RANK.EQ(Table13[[#This Row],[Gesamt EZF]],Table13[Gesamt EZF],0)," ")</f>
        <v xml:space="preserve"> </v>
      </c>
      <c r="AU45" s="17">
        <f t="shared" si="0"/>
        <v>778.78121032585693</v>
      </c>
    </row>
    <row r="46" spans="1:47" x14ac:dyDescent="0.25">
      <c r="A46" s="1" t="s">
        <v>149</v>
      </c>
      <c r="B46" s="1" t="s">
        <v>82</v>
      </c>
      <c r="C46" s="4">
        <v>1</v>
      </c>
      <c r="D46" s="4">
        <v>1993</v>
      </c>
      <c r="E46" s="4">
        <f>IF(Table13[[#This Row],[JG]],2026-Table13[[#This Row],[JG]],0)</f>
        <v>33</v>
      </c>
      <c r="F46" s="4"/>
      <c r="G46" s="26">
        <f>SUM(U46, AH46, AU46)</f>
        <v>758.6492074431427</v>
      </c>
      <c r="H46" s="24">
        <f>_xlfn.RANK.EQ(Table13[[#This Row],[Gesamtpunkte]],Table13[Gesamtpunkte],0)</f>
        <v>44</v>
      </c>
      <c r="I46" s="8"/>
      <c r="J46" s="4" t="str">
        <f>IF(Table13[[#This Row],[Zeit LSC]]&gt;0,_xlfn.RANK.EQ(Table13[[#This Row],[Punkte LSC]],Table13[Punkte LSC],0)," ")</f>
        <v xml:space="preserve"> </v>
      </c>
      <c r="K46" s="6">
        <f>IF(Table13[[#This Row],[Zeit LSC]]&gt;0,MIN(Table13[Zeit LSC])/Table13[[#This Row],[Zeit LSC]]*1000,0)</f>
        <v>0</v>
      </c>
      <c r="L46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6" s="6">
        <f>(Table13[[#This Row],[Punkte LSC]]+Table13[[#This Row],[Bonus LSC]])</f>
        <v>0</v>
      </c>
      <c r="N46" s="12" t="str">
        <f>IF(Table13[[#This Row],[Zeit LSC]]&gt;0,_xlfn.RANK.EQ(Table13[[#This Row],[Gesamt LSC]],Table13[Gesamt LSC],0)," ")</f>
        <v xml:space="preserve"> </v>
      </c>
      <c r="O46" s="8"/>
      <c r="P46" s="4" t="str">
        <f>IF(Table13[[#This Row],[Zeit LKC]]&gt;0,_xlfn.RANK.EQ(Table13[[#This Row],[Punkte LKC]],Table13[Punkte LKC],0)," ")</f>
        <v xml:space="preserve"> </v>
      </c>
      <c r="Q46" s="6">
        <f>IF(Table13[[#This Row],[Zeit LKC]]&gt;0,MIN(Table13[Zeit LKC])/Table13[[#This Row],[Zeit LKC]]*1000,0)</f>
        <v>0</v>
      </c>
      <c r="R46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6" s="6">
        <f>(Table13[[#This Row],[Punkte LKC]]+Table13[[#This Row],[Bonus LKC]])</f>
        <v>0</v>
      </c>
      <c r="T46" s="12" t="str">
        <f>IF(Table13[[#This Row],[Zeit LKC]]&gt;0,_xlfn.RANK.EQ(Table13[[#This Row],[Gesamt LKC]],Table13[Gesamt LKC],0)," ")</f>
        <v xml:space="preserve"> </v>
      </c>
      <c r="U46" s="15">
        <f>MAX( S46,M46)</f>
        <v>0</v>
      </c>
      <c r="V46" s="8"/>
      <c r="W46" s="5" t="str">
        <f>IF(Table13[[#This Row],[Zeit S&amp;R]]&gt;0,_xlfn.RANK.EQ(Table13[[#This Row],[Punkte S&amp;R]],Table13[Punkte S&amp;R],0)," ")</f>
        <v xml:space="preserve"> </v>
      </c>
      <c r="X46" s="6">
        <f>IF(Table13[[#This Row],[Zeit S&amp;R]]&gt;0,MIN(Table13[Zeit S&amp;R])/Table13[[#This Row],[Zeit S&amp;R]]*1000,0)</f>
        <v>0</v>
      </c>
      <c r="Y46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6" s="6">
        <f>(Table13[[#This Row],[Punkte S&amp;R]]+Table13[[#This Row],[Bonus S&amp;R]])</f>
        <v>0</v>
      </c>
      <c r="AA46" s="12" t="str">
        <f>IF(Table13[[#This Row],[Zeit S&amp;R]]&gt;0,_xlfn.RANK.EQ(Table13[[#This Row],[Gesamt S&amp;R]],Table13[Gesamt S&amp;R],0)," ")</f>
        <v xml:space="preserve"> </v>
      </c>
      <c r="AB46" s="8">
        <v>8.396990740740741E-2</v>
      </c>
      <c r="AC46" s="12">
        <f>IF(Table13[[#This Row],[Zeit LC]]&gt;0,_xlfn.RANK.EQ(Table13[[#This Row],[Punkte LC]],Table13[Punkte LC],0)," ")</f>
        <v>9</v>
      </c>
      <c r="AD46" s="6">
        <f>IF(Table13[[#This Row],[Zeit LC]]&gt;0,MIN(Table13[Zeit LC])/Table13[[#This Row],[Zeit LC]]*1000,0)</f>
        <v>758.6492074431427</v>
      </c>
      <c r="AE46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6" s="6">
        <f>(Table13[[#This Row],[Punkte LC]]+Table13[[#This Row],[Bonus LC]])</f>
        <v>758.6492074431427</v>
      </c>
      <c r="AG46" s="12">
        <f>IF(Table13[[#This Row],[Zeit LC]]&gt;0,_xlfn.RANK.EQ(Table13[[#This Row],[Gesamt LC]],Table13[Gesamt LC],0)," ")</f>
        <v>11</v>
      </c>
      <c r="AH46" s="15">
        <f>MAX( Z46,AF46)</f>
        <v>758.6492074431427</v>
      </c>
      <c r="AI46" s="8"/>
      <c r="AJ46" s="5" t="str">
        <f>IF(Table13[[#This Row],[Zeit BZF]]&gt;0,_xlfn.RANK.EQ(Table13[[#This Row],[Punkte BZF]],Table13[Punkte BZF],0)," ")</f>
        <v xml:space="preserve"> </v>
      </c>
      <c r="AK46" s="9">
        <f>IF(Table13[[#This Row],[Zeit BZF]]&gt;0,MIN(Table13[Zeit BZF])/Table13[[#This Row],[Zeit BZF]]*1000,0)</f>
        <v>0</v>
      </c>
      <c r="AL46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6" s="6">
        <f>(Table13[[#This Row],[Punkte BZF]]+Table13[[#This Row],[Bonus BZF]])</f>
        <v>0</v>
      </c>
      <c r="AN46" s="12" t="str">
        <f>IF(Table13[[#This Row],[Zeit BZF]]&gt;0,_xlfn.RANK.EQ(Table13[[#This Row],[Gesamt BZF]],Table13[Gesamt BZF],0)," ")</f>
        <v xml:space="preserve"> </v>
      </c>
      <c r="AO46" s="8"/>
      <c r="AP46" s="5" t="str">
        <f>IF(Table13[[#This Row],[Zeit EZF]]&gt;0,_xlfn.RANK.EQ(Table13[[#This Row],[Punkte EZF]],Table13[Punkte EZF],0)," ")</f>
        <v xml:space="preserve"> </v>
      </c>
      <c r="AQ46" s="9">
        <f>IF(Table13[[#This Row],[Zeit EZF]]&gt;0,MIN(Table13[Zeit EZF])/Table13[[#This Row],[Zeit EZF]]*1000,0)</f>
        <v>0</v>
      </c>
      <c r="AR46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6" s="6">
        <f>(Table13[[#This Row],[Punkte EZF]]+Table13[[#This Row],[Bonus EZF]])</f>
        <v>0</v>
      </c>
      <c r="AT46" s="12" t="str">
        <f>IF(Table13[[#This Row],[Zeit EZF]]&gt;0,_xlfn.RANK.EQ(Table13[[#This Row],[Gesamt EZF]],Table13[Gesamt EZF],0)," ")</f>
        <v xml:space="preserve"> </v>
      </c>
      <c r="AU46" s="17">
        <f t="shared" ref="AU46" si="13">MAX( AM46,AS46)</f>
        <v>0</v>
      </c>
    </row>
    <row r="47" spans="1:47" x14ac:dyDescent="0.25">
      <c r="A47" s="1" t="s">
        <v>166</v>
      </c>
      <c r="B47" s="1" t="s">
        <v>167</v>
      </c>
      <c r="C47" s="5"/>
      <c r="D47" s="5">
        <v>1995</v>
      </c>
      <c r="E47" s="5">
        <f>IF(Table13[[#This Row],[JG]],2026-Table13[[#This Row],[JG]],0)</f>
        <v>31</v>
      </c>
      <c r="F47" s="5"/>
      <c r="G47" s="26">
        <f>SUM(U47, AH47, AU47)</f>
        <v>750.52323147760569</v>
      </c>
      <c r="H47" s="24">
        <f>_xlfn.RANK.EQ(Table13[[#This Row],[Gesamtpunkte]],Table13[Gesamtpunkte],0)</f>
        <v>45</v>
      </c>
      <c r="I47" s="19"/>
      <c r="J47" s="20" t="str">
        <f>IF(Table13[[#This Row],[Zeit LSC]]&gt;0,_xlfn.RANK.EQ(Table13[[#This Row],[Punkte LSC]],Table13[Punkte LSC],0)," ")</f>
        <v xml:space="preserve"> </v>
      </c>
      <c r="K47" s="21">
        <f>IF(Table13[[#This Row],[Zeit LSC]]&gt;0,MIN(Table13[Zeit LSC])/Table13[[#This Row],[Zeit LSC]]*1000,0)</f>
        <v>0</v>
      </c>
      <c r="L47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7" s="21">
        <f>(Table13[[#This Row],[Punkte LSC]]+Table13[[#This Row],[Bonus LSC]])</f>
        <v>0</v>
      </c>
      <c r="N47" s="23" t="str">
        <f>IF(Table13[[#This Row],[Zeit LSC]]&gt;0,_xlfn.RANK.EQ(Table13[[#This Row],[Gesamt LSC]],Table13[Gesamt LSC],0)," ")</f>
        <v xml:space="preserve"> </v>
      </c>
      <c r="O47" s="5"/>
      <c r="P47" s="5" t="str">
        <f>IF(Table13[[#This Row],[Zeit LKC]]&gt;0,_xlfn.RANK.EQ(Table13[[#This Row],[Punkte LKC]],Table13[Punkte LKC],0)," ")</f>
        <v xml:space="preserve"> </v>
      </c>
      <c r="Q47" s="6">
        <f>IF(Table13[[#This Row],[Zeit LKC]]&gt;0,MIN(Table13[Zeit LKC])/Table13[[#This Row],[Zeit LKC]]*1000,0)</f>
        <v>0</v>
      </c>
      <c r="R47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47" s="9">
        <f>(Table13[[#This Row],[Punkte LKC]]+Table13[[#This Row],[Bonus LKC]])</f>
        <v>0</v>
      </c>
      <c r="T47" s="13" t="str">
        <f>IF(Table13[[#This Row],[Zeit LKC]]&gt;0,_xlfn.RANK.EQ(Table13[[#This Row],[Gesamt LKC]],Table13[Gesamt LKC],0)," ")</f>
        <v xml:space="preserve"> </v>
      </c>
      <c r="U47" s="15">
        <f>MAX( S47,M47)</f>
        <v>0</v>
      </c>
      <c r="V47" s="11"/>
      <c r="W47" s="5" t="str">
        <f>IF(Table13[[#This Row],[Zeit S&amp;R]]&gt;0,_xlfn.RANK.EQ(Table13[[#This Row],[Punkte S&amp;R]],Table13[Punkte S&amp;R],0)," ")</f>
        <v xml:space="preserve"> </v>
      </c>
      <c r="X47" s="9">
        <f>IF(Table13[[#This Row],[Zeit S&amp;R]]&gt;0,MIN(Table13[Zeit S&amp;R])/Table13[[#This Row],[Zeit S&amp;R]]*1000,0)</f>
        <v>0</v>
      </c>
      <c r="Y47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7" s="9">
        <f>(Table13[[#This Row],[Punkte S&amp;R]]+Table13[[#This Row],[Bonus S&amp;R]])</f>
        <v>0</v>
      </c>
      <c r="AA47" s="13" t="str">
        <f>IF(Table13[[#This Row],[Zeit S&amp;R]]&gt;0,_xlfn.RANK.EQ(Table13[[#This Row],[Gesamt S&amp;R]],Table13[Gesamt S&amp;R],0)," ")</f>
        <v xml:space="preserve"> </v>
      </c>
      <c r="AB47" s="11"/>
      <c r="AC47" s="13" t="str">
        <f>IF(Table13[[#This Row],[Zeit LC]]&gt;0,_xlfn.RANK.EQ(Table13[[#This Row],[Punkte LC]],Table13[Punkte LC],0)," ")</f>
        <v xml:space="preserve"> </v>
      </c>
      <c r="AD47" s="9">
        <f>IF(Table13[[#This Row],[Zeit LC]]&gt;0,MIN(Table13[Zeit LC])/Table13[[#This Row],[Zeit LC]]*1000,0)</f>
        <v>0</v>
      </c>
      <c r="AE47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7" s="9">
        <f>(Table13[[#This Row],[Punkte LC]]+Table13[[#This Row],[Bonus LC]])</f>
        <v>0</v>
      </c>
      <c r="AG47" s="13" t="str">
        <f>IF(Table13[[#This Row],[Zeit LC]]&gt;0,_xlfn.RANK.EQ(Table13[[#This Row],[Gesamt LC]],Table13[Gesamt LC],0)," ")</f>
        <v xml:space="preserve"> </v>
      </c>
      <c r="AH47" s="15">
        <f>MAX( Z47,AF47)</f>
        <v>0</v>
      </c>
      <c r="AI47" s="11">
        <v>2.7650462962962963E-2</v>
      </c>
      <c r="AJ47" s="5">
        <f>IF(Table13[[#This Row],[Zeit BZF]]&gt;0,_xlfn.RANK.EQ(Table13[[#This Row],[Punkte BZF]],Table13[Punkte BZF],0)," ")</f>
        <v>6</v>
      </c>
      <c r="AK47" s="9">
        <f>IF(Table13[[#This Row],[Zeit BZF]]&gt;0,MIN(Table13[Zeit BZF])/Table13[[#This Row],[Zeit BZF]]*1000,0)</f>
        <v>750.52323147760569</v>
      </c>
      <c r="AL47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7" s="9">
        <f>(Table13[[#This Row],[Punkte BZF]]+Table13[[#This Row],[Bonus BZF]])</f>
        <v>750.52323147760569</v>
      </c>
      <c r="AN47" s="13">
        <f>IF(Table13[[#This Row],[Zeit BZF]]&gt;0,_xlfn.RANK.EQ(Table13[[#This Row],[Gesamt BZF]],Table13[Gesamt BZF],0)," ")</f>
        <v>7</v>
      </c>
      <c r="AO47" s="11"/>
      <c r="AP47" s="5" t="str">
        <f>IF(Table13[[#This Row],[Zeit EZF]]&gt;0,_xlfn.RANK.EQ(Table13[[#This Row],[Punkte EZF]],Table13[Punkte EZF],0)," ")</f>
        <v xml:space="preserve"> </v>
      </c>
      <c r="AQ47" s="9">
        <f>IF(Table13[[#This Row],[Zeit EZF]]&gt;0,MIN(Table13[Zeit EZF])/Table13[[#This Row],[Zeit EZF]]*1000,0)</f>
        <v>0</v>
      </c>
      <c r="AR47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7" s="9">
        <f>(Table13[[#This Row],[Punkte EZF]]+Table13[[#This Row],[Bonus EZF]])</f>
        <v>0</v>
      </c>
      <c r="AT47" s="13" t="str">
        <f>IF(Table13[[#This Row],[Zeit EZF]]&gt;0,_xlfn.RANK.EQ(Table13[[#This Row],[Gesamt EZF]],Table13[Gesamt EZF],0)," ")</f>
        <v xml:space="preserve"> </v>
      </c>
      <c r="AU47" s="17">
        <f t="shared" si="0"/>
        <v>750.52323147760569</v>
      </c>
    </row>
    <row r="48" spans="1:47" x14ac:dyDescent="0.25">
      <c r="A48" s="1" t="s">
        <v>78</v>
      </c>
      <c r="B48" s="1" t="s">
        <v>77</v>
      </c>
      <c r="C48" s="5"/>
      <c r="D48" s="5">
        <v>1971</v>
      </c>
      <c r="E48" s="5">
        <f>IF(Table13[[#This Row],[JG]],2026-Table13[[#This Row],[JG]],0)</f>
        <v>55</v>
      </c>
      <c r="F48" s="5"/>
      <c r="G48" s="26">
        <f>SUM(U48, AH48, AU48)</f>
        <v>738.88888888888891</v>
      </c>
      <c r="H48" s="24">
        <f>_xlfn.RANK.EQ(Table13[[#This Row],[Gesamtpunkte]],Table13[Gesamtpunkte],0)</f>
        <v>46</v>
      </c>
      <c r="I48" s="8">
        <v>3.125E-2</v>
      </c>
      <c r="J48" s="4">
        <f>IF(Table13[[#This Row],[Zeit LSC]]&gt;0,_xlfn.RANK.EQ(Table13[[#This Row],[Punkte LSC]],Table13[Punkte LSC],0)," ")</f>
        <v>6</v>
      </c>
      <c r="K48" s="6">
        <f>IF(Table13[[#This Row],[Zeit LSC]]&gt;0,MIN(Table13[Zeit LSC])/Table13[[#This Row],[Zeit LSC]]*1000,0)</f>
        <v>678.88888888888891</v>
      </c>
      <c r="L48" s="7">
        <f>IF(Table13[[#This Row],[Zeit LSC]]&gt;0,SUM(IF(Table13[[#This Row],[Alter]]&gt;40,(Table13[[#This Row],[Alter]]-40)*4,0),IF(AND(Table13[[#This Row],[Alter]]&lt;20,Table13[[#This Row],[Alter]]&gt;0),(20-Table13[[#This Row],[Alter]])*10,0)),0)</f>
        <v>60</v>
      </c>
      <c r="M48" s="6">
        <f>(Table13[[#This Row],[Punkte LSC]]+Table13[[#This Row],[Bonus LSC]])</f>
        <v>738.88888888888891</v>
      </c>
      <c r="N48" s="12">
        <f>IF(Table13[[#This Row],[Zeit LSC]]&gt;0,_xlfn.RANK.EQ(Table13[[#This Row],[Gesamt LSC]],Table13[Gesamt LSC],0)," ")</f>
        <v>6</v>
      </c>
      <c r="O48" s="8">
        <v>2.3101851851851853E-2</v>
      </c>
      <c r="P48" s="5">
        <f>IF(Table13[[#This Row],[Zeit LKC]]&gt;0,_xlfn.RANK.EQ(Table13[[#This Row],[Punkte LKC]],Table13[Punkte LKC],0)," ")</f>
        <v>10</v>
      </c>
      <c r="Q48" s="6">
        <f>IF(Table13[[#This Row],[Zeit LKC]]&gt;0,MIN(Table13[Zeit LKC])/Table13[[#This Row],[Zeit LKC]]*1000,0)</f>
        <v>602.20440881763523</v>
      </c>
      <c r="R48" s="10">
        <f>IF(Table13[[#This Row],[Zeit LKC]]&gt;0,SUM(IF(Table13[[#This Row],[Alter]]&gt;40,(Table13[[#This Row],[Alter]]-40)*4,0),IF(AND(Table13[[#This Row],[Alter]]&lt;20,Table13[[#This Row],[Alter]]&gt;0),(20-Table13[[#This Row],[Alter]])*10,0)),0)</f>
        <v>60</v>
      </c>
      <c r="S48" s="9">
        <f>(Table13[[#This Row],[Punkte LKC]]+Table13[[#This Row],[Bonus LKC]])</f>
        <v>662.20440881763523</v>
      </c>
      <c r="T48" s="13">
        <f>IF(Table13[[#This Row],[Zeit LKC]]&gt;0,_xlfn.RANK.EQ(Table13[[#This Row],[Gesamt LKC]],Table13[Gesamt LKC],0)," ")</f>
        <v>8</v>
      </c>
      <c r="U48" s="15">
        <f>MAX( S48,M48)</f>
        <v>738.88888888888891</v>
      </c>
      <c r="V48" s="11"/>
      <c r="W48" s="5" t="str">
        <f>IF(Table13[[#This Row],[Zeit S&amp;R]]&gt;0,_xlfn.RANK.EQ(Table13[[#This Row],[Punkte S&amp;R]],Table13[Punkte S&amp;R],0)," ")</f>
        <v xml:space="preserve"> </v>
      </c>
      <c r="X48" s="9">
        <f>IF(Table13[[#This Row],[Zeit S&amp;R]]&gt;0,MIN(Table13[Zeit S&amp;R])/Table13[[#This Row],[Zeit S&amp;R]]*1000,0)</f>
        <v>0</v>
      </c>
      <c r="Y48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8" s="9">
        <f>(Table13[[#This Row],[Punkte S&amp;R]]+Table13[[#This Row],[Bonus S&amp;R]])</f>
        <v>0</v>
      </c>
      <c r="AA48" s="13" t="str">
        <f>IF(Table13[[#This Row],[Zeit S&amp;R]]&gt;0,_xlfn.RANK.EQ(Table13[[#This Row],[Gesamt S&amp;R]],Table13[Gesamt S&amp;R],0)," ")</f>
        <v xml:space="preserve"> </v>
      </c>
      <c r="AB48" s="11"/>
      <c r="AC48" s="13" t="str">
        <f>IF(Table13[[#This Row],[Zeit LC]]&gt;0,_xlfn.RANK.EQ(Table13[[#This Row],[Punkte LC]],Table13[Punkte LC],0)," ")</f>
        <v xml:space="preserve"> </v>
      </c>
      <c r="AD48" s="9">
        <f>IF(Table13[[#This Row],[Zeit LC]]&gt;0,MIN(Table13[Zeit LC])/Table13[[#This Row],[Zeit LC]]*1000,0)</f>
        <v>0</v>
      </c>
      <c r="AE48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8" s="9">
        <f>(Table13[[#This Row],[Punkte LC]]+Table13[[#This Row],[Bonus LC]])</f>
        <v>0</v>
      </c>
      <c r="AG48" s="13" t="str">
        <f>IF(Table13[[#This Row],[Zeit LC]]&gt;0,_xlfn.RANK.EQ(Table13[[#This Row],[Gesamt LC]],Table13[Gesamt LC],0)," ")</f>
        <v xml:space="preserve"> </v>
      </c>
      <c r="AH48" s="15">
        <f>MAX( Z48,AF48)</f>
        <v>0</v>
      </c>
      <c r="AI48" s="11"/>
      <c r="AJ48" s="5" t="str">
        <f>IF(Table13[[#This Row],[Zeit BZF]]&gt;0,_xlfn.RANK.EQ(Table13[[#This Row],[Punkte BZF]],Table13[Punkte BZF],0)," ")</f>
        <v xml:space="preserve"> </v>
      </c>
      <c r="AK48" s="9">
        <f>IF(Table13[[#This Row],[Zeit BZF]]&gt;0,MIN(Table13[Zeit BZF])/Table13[[#This Row],[Zeit BZF]]*1000,0)</f>
        <v>0</v>
      </c>
      <c r="AL48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8" s="9">
        <f>(Table13[[#This Row],[Punkte BZF]]+Table13[[#This Row],[Bonus BZF]])</f>
        <v>0</v>
      </c>
      <c r="AN48" s="13" t="str">
        <f>IF(Table13[[#This Row],[Zeit BZF]]&gt;0,_xlfn.RANK.EQ(Table13[[#This Row],[Gesamt BZF]],Table13[Gesamt BZF],0)," ")</f>
        <v xml:space="preserve"> </v>
      </c>
      <c r="AO48" s="11"/>
      <c r="AP48" s="5" t="str">
        <f>IF(Table13[[#This Row],[Zeit EZF]]&gt;0,_xlfn.RANK.EQ(Table13[[#This Row],[Punkte EZF]],Table13[Punkte EZF],0)," ")</f>
        <v xml:space="preserve"> </v>
      </c>
      <c r="AQ48" s="9">
        <f>IF(Table13[[#This Row],[Zeit EZF]]&gt;0,MIN(Table13[Zeit EZF])/Table13[[#This Row],[Zeit EZF]]*1000,0)</f>
        <v>0</v>
      </c>
      <c r="AR48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8" s="9">
        <f>(Table13[[#This Row],[Punkte EZF]]+Table13[[#This Row],[Bonus EZF]])</f>
        <v>0</v>
      </c>
      <c r="AT48" s="13" t="str">
        <f>IF(Table13[[#This Row],[Zeit EZF]]&gt;0,_xlfn.RANK.EQ(Table13[[#This Row],[Gesamt EZF]],Table13[Gesamt EZF],0)," ")</f>
        <v xml:space="preserve"> </v>
      </c>
      <c r="AU48" s="17">
        <f t="shared" si="0"/>
        <v>0</v>
      </c>
    </row>
    <row r="49" spans="1:47" x14ac:dyDescent="0.25">
      <c r="A49" s="18" t="s">
        <v>62</v>
      </c>
      <c r="B49" s="18" t="s">
        <v>63</v>
      </c>
      <c r="C49" s="5"/>
      <c r="D49" s="5">
        <v>1963</v>
      </c>
      <c r="E49" s="5">
        <f>IF(Table13[[#This Row],[JG]],2026-Table13[[#This Row],[JG]],0)</f>
        <v>63</v>
      </c>
      <c r="F49" s="5"/>
      <c r="G49" s="26">
        <f>SUM(U49, AH49, AU49)</f>
        <v>724.96471827277514</v>
      </c>
      <c r="H49" s="24">
        <f>_xlfn.RANK.EQ(Table13[[#This Row],[Gesamtpunkte]],Table13[Gesamtpunkte],0)</f>
        <v>47</v>
      </c>
      <c r="I49" s="11"/>
      <c r="J49" s="4" t="str">
        <f>IF(Table13[[#This Row],[Zeit LSC]]&gt;0,_xlfn.RANK.EQ(Table13[[#This Row],[Punkte LSC]],Table13[Punkte LSC],0)," ")</f>
        <v xml:space="preserve"> </v>
      </c>
      <c r="K49" s="9">
        <f>IF(Table13[[#This Row],[Zeit LSC]]&gt;0,MIN(Table13[Zeit LSC])/Table13[[#This Row],[Zeit LSC]]*1000,0)</f>
        <v>0</v>
      </c>
      <c r="L49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49" s="9">
        <f>(Table13[[#This Row],[Punkte LSC]]+Table13[[#This Row],[Bonus LSC]])</f>
        <v>0</v>
      </c>
      <c r="N49" s="12" t="str">
        <f>IF(Table13[[#This Row],[Zeit LSC]]&gt;0,_xlfn.RANK.EQ(Table13[[#This Row],[Gesamt LSC]],Table13[Gesamt LSC],0)," ")</f>
        <v xml:space="preserve"> </v>
      </c>
      <c r="O49" s="8">
        <v>2.1979166666666668E-2</v>
      </c>
      <c r="P49" s="5">
        <f>IF(Table13[[#This Row],[Zeit LKC]]&gt;0,_xlfn.RANK.EQ(Table13[[#This Row],[Punkte LKC]],Table13[Punkte LKC],0)," ")</f>
        <v>7</v>
      </c>
      <c r="Q49" s="6">
        <f>IF(Table13[[#This Row],[Zeit LKC]]&gt;0,MIN(Table13[Zeit LKC])/Table13[[#This Row],[Zeit LKC]]*1000,0)</f>
        <v>632.96471827277514</v>
      </c>
      <c r="R49" s="7">
        <f>IF(Table13[[#This Row],[Zeit LKC]]&gt;0,SUM(IF(Table13[[#This Row],[Alter]]&gt;40,(Table13[[#This Row],[Alter]]-40)*4,0),IF(AND(Table13[[#This Row],[Alter]]&lt;20,Table13[[#This Row],[Alter]]&gt;0),(20-Table13[[#This Row],[Alter]])*10,0)),0)</f>
        <v>92</v>
      </c>
      <c r="S49" s="6">
        <f>(Table13[[#This Row],[Punkte LKC]]+Table13[[#This Row],[Bonus LKC]])</f>
        <v>724.96471827277514</v>
      </c>
      <c r="T49" s="12">
        <f>IF(Table13[[#This Row],[Zeit LKC]]&gt;0,_xlfn.RANK.EQ(Table13[[#This Row],[Gesamt LKC]],Table13[Gesamt LKC],0)," ")</f>
        <v>6</v>
      </c>
      <c r="U49" s="15">
        <f>MAX( S49,M49)</f>
        <v>724.96471827277514</v>
      </c>
      <c r="V49" s="11"/>
      <c r="W49" s="5" t="str">
        <f>IF(Table13[[#This Row],[Zeit S&amp;R]]&gt;0,_xlfn.RANK.EQ(Table13[[#This Row],[Punkte S&amp;R]],Table13[Punkte S&amp;R],0)," ")</f>
        <v xml:space="preserve"> </v>
      </c>
      <c r="X49" s="9">
        <f>IF(Table13[[#This Row],[Zeit S&amp;R]]&gt;0,MIN(Table13[Zeit S&amp;R])/Table13[[#This Row],[Zeit S&amp;R]]*1000,0)</f>
        <v>0</v>
      </c>
      <c r="Y49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49" s="9">
        <f>(Table13[[#This Row],[Punkte S&amp;R]]+Table13[[#This Row],[Bonus S&amp;R]])</f>
        <v>0</v>
      </c>
      <c r="AA49" s="12" t="str">
        <f>IF(Table13[[#This Row],[Zeit S&amp;R]]&gt;0,_xlfn.RANK.EQ(Table13[[#This Row],[Gesamt S&amp;R]],Table13[Gesamt S&amp;R],0)," ")</f>
        <v xml:space="preserve"> </v>
      </c>
      <c r="AB49" s="8"/>
      <c r="AC49" s="12" t="str">
        <f>IF(Table13[[#This Row],[Zeit LC]]&gt;0,_xlfn.RANK.EQ(Table13[[#This Row],[Punkte LC]],Table13[Punkte LC],0)," ")</f>
        <v xml:space="preserve"> </v>
      </c>
      <c r="AD49" s="9">
        <f>IF(Table13[[#This Row],[Zeit LC]]&gt;0,MIN(Table13[Zeit LC])/Table13[[#This Row],[Zeit LC]]*1000,0)</f>
        <v>0</v>
      </c>
      <c r="AE49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49" s="9">
        <f>(Table13[[#This Row],[Punkte LC]]+Table13[[#This Row],[Bonus LC]])</f>
        <v>0</v>
      </c>
      <c r="AG49" s="12" t="str">
        <f>IF(Table13[[#This Row],[Zeit LC]]&gt;0,_xlfn.RANK.EQ(Table13[[#This Row],[Gesamt LC]],Table13[Gesamt LC],0)," ")</f>
        <v xml:space="preserve"> </v>
      </c>
      <c r="AH49" s="15">
        <f>MAX( Z49,AF49)</f>
        <v>0</v>
      </c>
      <c r="AI49" s="11"/>
      <c r="AJ49" s="5" t="str">
        <f>IF(Table13[[#This Row],[Zeit BZF]]&gt;0,_xlfn.RANK.EQ(Table13[[#This Row],[Punkte BZF]],Table13[Punkte BZF],0)," ")</f>
        <v xml:space="preserve"> </v>
      </c>
      <c r="AK49" s="9">
        <f>IF(Table13[[#This Row],[Zeit BZF]]&gt;0,MIN(Table13[Zeit BZF])/Table13[[#This Row],[Zeit BZF]]*1000,0)</f>
        <v>0</v>
      </c>
      <c r="AL49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49" s="9">
        <f>(Table13[[#This Row],[Punkte BZF]]+Table13[[#This Row],[Bonus BZF]])</f>
        <v>0</v>
      </c>
      <c r="AN49" s="12" t="str">
        <f>IF(Table13[[#This Row],[Zeit BZF]]&gt;0,_xlfn.RANK.EQ(Table13[[#This Row],[Gesamt BZF]],Table13[Gesamt BZF],0)," ")</f>
        <v xml:space="preserve"> </v>
      </c>
      <c r="AO49" s="11"/>
      <c r="AP49" s="5" t="str">
        <f>IF(Table13[[#This Row],[Zeit EZF]]&gt;0,_xlfn.RANK.EQ(Table13[[#This Row],[Punkte EZF]],Table13[Punkte EZF],0)," ")</f>
        <v xml:space="preserve"> </v>
      </c>
      <c r="AQ49" s="9">
        <f>IF(Table13[[#This Row],[Zeit EZF]]&gt;0,MIN(Table13[Zeit EZF])/Table13[[#This Row],[Zeit EZF]]*1000,0)</f>
        <v>0</v>
      </c>
      <c r="AR49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49" s="9">
        <f>(Table13[[#This Row],[Punkte EZF]]+Table13[[#This Row],[Bonus EZF]])</f>
        <v>0</v>
      </c>
      <c r="AT49" s="12" t="str">
        <f>IF(Table13[[#This Row],[Zeit EZF]]&gt;0,_xlfn.RANK.EQ(Table13[[#This Row],[Gesamt EZF]],Table13[Gesamt EZF],0)," ")</f>
        <v xml:space="preserve"> </v>
      </c>
      <c r="AU49" s="17">
        <f t="shared" si="0"/>
        <v>0</v>
      </c>
    </row>
    <row r="50" spans="1:47" x14ac:dyDescent="0.25">
      <c r="A50" s="1" t="s">
        <v>80</v>
      </c>
      <c r="B50" s="1" t="s">
        <v>81</v>
      </c>
      <c r="C50" s="4">
        <v>1</v>
      </c>
      <c r="D50" s="4">
        <v>1981</v>
      </c>
      <c r="E50" s="4">
        <f>IF(Table13[[#This Row],[JG]],2026-Table13[[#This Row],[JG]],0)</f>
        <v>45</v>
      </c>
      <c r="F50" s="4"/>
      <c r="G50" s="26">
        <f>SUM(U50, AH50, AU50)</f>
        <v>719.57081545064375</v>
      </c>
      <c r="H50" s="24">
        <f>_xlfn.RANK.EQ(Table13[[#This Row],[Gesamtpunkte]],Table13[Gesamtpunkte],0)</f>
        <v>48</v>
      </c>
      <c r="I50" s="8"/>
      <c r="J50" s="4" t="str">
        <f>IF(Table13[[#This Row],[Zeit LSC]]&gt;0,_xlfn.RANK.EQ(Table13[[#This Row],[Punkte LSC]],Table13[Punkte LSC],0)," ")</f>
        <v xml:space="preserve"> </v>
      </c>
      <c r="K50" s="6">
        <f>IF(Table13[[#This Row],[Zeit LSC]]&gt;0,MIN(Table13[Zeit LSC])/Table13[[#This Row],[Zeit LSC]]*1000,0)</f>
        <v>0</v>
      </c>
      <c r="L50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0" s="6">
        <f>(Table13[[#This Row],[Punkte LSC]]+Table13[[#This Row],[Bonus LSC]])</f>
        <v>0</v>
      </c>
      <c r="N50" s="12" t="str">
        <f>IF(Table13[[#This Row],[Zeit LSC]]&gt;0,_xlfn.RANK.EQ(Table13[[#This Row],[Gesamt LSC]],Table13[Gesamt LSC],0)," ")</f>
        <v xml:space="preserve"> </v>
      </c>
      <c r="O50" s="8"/>
      <c r="P50" s="4" t="str">
        <f>IF(Table13[[#This Row],[Zeit LKC]]&gt;0,_xlfn.RANK.EQ(Table13[[#This Row],[Punkte LKC]],Table13[Punkte LKC],0)," ")</f>
        <v xml:space="preserve"> </v>
      </c>
      <c r="Q50" s="6">
        <f>IF(Table13[[#This Row],[Zeit LKC]]&gt;0,MIN(Table13[Zeit LKC])/Table13[[#This Row],[Zeit LKC]]*1000,0)</f>
        <v>0</v>
      </c>
      <c r="R50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0" s="6">
        <f>(Table13[[#This Row],[Punkte LKC]]+Table13[[#This Row],[Bonus LKC]])</f>
        <v>0</v>
      </c>
      <c r="T50" s="12" t="str">
        <f>IF(Table13[[#This Row],[Zeit LKC]]&gt;0,_xlfn.RANK.EQ(Table13[[#This Row],[Gesamt LKC]],Table13[Gesamt LKC],0)," ")</f>
        <v xml:space="preserve"> </v>
      </c>
      <c r="U50" s="15">
        <f>MAX( S50,M50)</f>
        <v>0</v>
      </c>
      <c r="V50" s="8"/>
      <c r="W50" s="5" t="str">
        <f>IF(Table13[[#This Row],[Zeit S&amp;R]]&gt;0,_xlfn.RANK.EQ(Table13[[#This Row],[Punkte S&amp;R]],Table13[Punkte S&amp;R],0)," ")</f>
        <v xml:space="preserve"> </v>
      </c>
      <c r="X50" s="6">
        <f>IF(Table13[[#This Row],[Zeit S&amp;R]]&gt;0,MIN(Table13[Zeit S&amp;R])/Table13[[#This Row],[Zeit S&amp;R]]*1000,0)</f>
        <v>0</v>
      </c>
      <c r="Y50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0" s="6">
        <f>(Table13[[#This Row],[Punkte S&amp;R]]+Table13[[#This Row],[Bonus S&amp;R]])</f>
        <v>0</v>
      </c>
      <c r="AA50" s="12" t="str">
        <f>IF(Table13[[#This Row],[Zeit S&amp;R]]&gt;0,_xlfn.RANK.EQ(Table13[[#This Row],[Gesamt S&amp;R]],Table13[Gesamt S&amp;R],0)," ")</f>
        <v xml:space="preserve"> </v>
      </c>
      <c r="AB50" s="8"/>
      <c r="AC50" s="12" t="str">
        <f>IF(Table13[[#This Row],[Zeit LC]]&gt;0,_xlfn.RANK.EQ(Table13[[#This Row],[Punkte LC]],Table13[Punkte LC],0)," ")</f>
        <v xml:space="preserve"> </v>
      </c>
      <c r="AD50" s="6">
        <f>IF(Table13[[#This Row],[Zeit LC]]&gt;0,MIN(Table13[Zeit LC])/Table13[[#This Row],[Zeit LC]]*1000,0)</f>
        <v>0</v>
      </c>
      <c r="AE50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0" s="6">
        <f>(Table13[[#This Row],[Punkte LC]]+Table13[[#This Row],[Bonus LC]])</f>
        <v>0</v>
      </c>
      <c r="AG50" s="12" t="str">
        <f>IF(Table13[[#This Row],[Zeit LC]]&gt;0,_xlfn.RANK.EQ(Table13[[#This Row],[Gesamt LC]],Table13[Gesamt LC],0)," ")</f>
        <v xml:space="preserve"> </v>
      </c>
      <c r="AH50" s="15">
        <f>MAX( Z50,AF50)</f>
        <v>0</v>
      </c>
      <c r="AI50" s="8">
        <v>2.9664351851851851E-2</v>
      </c>
      <c r="AJ50" s="5">
        <f>IF(Table13[[#This Row],[Zeit BZF]]&gt;0,_xlfn.RANK.EQ(Table13[[#This Row],[Punkte BZF]],Table13[Punkte BZF],0)," ")</f>
        <v>9</v>
      </c>
      <c r="AK50" s="9">
        <f>IF(Table13[[#This Row],[Zeit BZF]]&gt;0,MIN(Table13[Zeit BZF])/Table13[[#This Row],[Zeit BZF]]*1000,0)</f>
        <v>699.57081545064375</v>
      </c>
      <c r="AL50" s="7">
        <f>IF(Table13[[#This Row],[Zeit BZF]]&gt;0,SUM(IF(Table13[[#This Row],[Alter]]&gt;40,(Table13[[#This Row],[Alter]]-40)*4,0),IF(AND(Table13[[#This Row],[Alter]]&lt;20,Table13[[#This Row],[Alter]]&gt;0),(20-Table13[[#This Row],[Alter]])*10,0)),0)</f>
        <v>20</v>
      </c>
      <c r="AM50" s="6">
        <f>(Table13[[#This Row],[Punkte BZF]]+Table13[[#This Row],[Bonus BZF]])</f>
        <v>719.57081545064375</v>
      </c>
      <c r="AN50" s="12">
        <f>IF(Table13[[#This Row],[Zeit BZF]]&gt;0,_xlfn.RANK.EQ(Table13[[#This Row],[Gesamt BZF]],Table13[Gesamt BZF],0)," ")</f>
        <v>10</v>
      </c>
      <c r="AO50" s="8"/>
      <c r="AP50" s="5" t="str">
        <f>IF(Table13[[#This Row],[Zeit EZF]]&gt;0,_xlfn.RANK.EQ(Table13[[#This Row],[Punkte EZF]],Table13[Punkte EZF],0)," ")</f>
        <v xml:space="preserve"> </v>
      </c>
      <c r="AQ50" s="9">
        <f>IF(Table13[[#This Row],[Zeit EZF]]&gt;0,MIN(Table13[Zeit EZF])/Table13[[#This Row],[Zeit EZF]]*1000,0)</f>
        <v>0</v>
      </c>
      <c r="AR50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0" s="6">
        <f>(Table13[[#This Row],[Punkte EZF]]+Table13[[#This Row],[Bonus EZF]])</f>
        <v>0</v>
      </c>
      <c r="AT50" s="12" t="str">
        <f>IF(Table13[[#This Row],[Zeit EZF]]&gt;0,_xlfn.RANK.EQ(Table13[[#This Row],[Gesamt EZF]],Table13[Gesamt EZF],0)," ")</f>
        <v xml:space="preserve"> </v>
      </c>
      <c r="AU50" s="17">
        <f t="shared" si="0"/>
        <v>719.57081545064375</v>
      </c>
    </row>
    <row r="51" spans="1:47" x14ac:dyDescent="0.25">
      <c r="A51" s="1" t="s">
        <v>168</v>
      </c>
      <c r="B51" s="1" t="s">
        <v>169</v>
      </c>
      <c r="C51" s="5"/>
      <c r="D51" s="5">
        <v>1981</v>
      </c>
      <c r="E51" s="5">
        <f>IF(Table13[[#This Row],[JG]],2026-Table13[[#This Row],[JG]],0)</f>
        <v>45</v>
      </c>
      <c r="F51" s="5"/>
      <c r="G51" s="26">
        <f>SUM(U51, AH51, AU51)</f>
        <v>703.56843309187946</v>
      </c>
      <c r="H51" s="24">
        <f>_xlfn.RANK.EQ(Table13[[#This Row],[Gesamtpunkte]],Table13[Gesamtpunkte],0)</f>
        <v>49</v>
      </c>
      <c r="I51" s="19"/>
      <c r="J51" s="20" t="str">
        <f>IF(Table13[[#This Row],[Zeit LSC]]&gt;0,_xlfn.RANK.EQ(Table13[[#This Row],[Punkte LSC]],Table13[Punkte LSC],0)," ")</f>
        <v xml:space="preserve"> </v>
      </c>
      <c r="K51" s="21">
        <f>IF(Table13[[#This Row],[Zeit LSC]]&gt;0,MIN(Table13[Zeit LSC])/Table13[[#This Row],[Zeit LSC]]*1000,0)</f>
        <v>0</v>
      </c>
      <c r="L51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1" s="21">
        <f>(Table13[[#This Row],[Punkte LSC]]+Table13[[#This Row],[Bonus LSC]])</f>
        <v>0</v>
      </c>
      <c r="N51" s="23" t="str">
        <f>IF(Table13[[#This Row],[Zeit LSC]]&gt;0,_xlfn.RANK.EQ(Table13[[#This Row],[Gesamt LSC]],Table13[Gesamt LSC],0)," ")</f>
        <v xml:space="preserve"> </v>
      </c>
      <c r="O51" s="5"/>
      <c r="P51" s="5" t="str">
        <f>IF(Table13[[#This Row],[Zeit LKC]]&gt;0,_xlfn.RANK.EQ(Table13[[#This Row],[Punkte LKC]],Table13[Punkte LKC],0)," ")</f>
        <v xml:space="preserve"> </v>
      </c>
      <c r="Q51" s="6">
        <f>IF(Table13[[#This Row],[Zeit LKC]]&gt;0,MIN(Table13[Zeit LKC])/Table13[[#This Row],[Zeit LKC]]*1000,0)</f>
        <v>0</v>
      </c>
      <c r="R51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1" s="9">
        <f>(Table13[[#This Row],[Punkte LKC]]+Table13[[#This Row],[Bonus LKC]])</f>
        <v>0</v>
      </c>
      <c r="T51" s="13" t="str">
        <f>IF(Table13[[#This Row],[Zeit LKC]]&gt;0,_xlfn.RANK.EQ(Table13[[#This Row],[Gesamt LKC]],Table13[Gesamt LKC],0)," ")</f>
        <v xml:space="preserve"> </v>
      </c>
      <c r="U51" s="15">
        <f>MAX( S51,M51)</f>
        <v>0</v>
      </c>
      <c r="V51" s="11"/>
      <c r="W51" s="5" t="str">
        <f>IF(Table13[[#This Row],[Zeit S&amp;R]]&gt;0,_xlfn.RANK.EQ(Table13[[#This Row],[Punkte S&amp;R]],Table13[Punkte S&amp;R],0)," ")</f>
        <v xml:space="preserve"> </v>
      </c>
      <c r="X51" s="9">
        <f>IF(Table13[[#This Row],[Zeit S&amp;R]]&gt;0,MIN(Table13[Zeit S&amp;R])/Table13[[#This Row],[Zeit S&amp;R]]*1000,0)</f>
        <v>0</v>
      </c>
      <c r="Y51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1" s="9">
        <f>(Table13[[#This Row],[Punkte S&amp;R]]+Table13[[#This Row],[Bonus S&amp;R]])</f>
        <v>0</v>
      </c>
      <c r="AA51" s="13" t="str">
        <f>IF(Table13[[#This Row],[Zeit S&amp;R]]&gt;0,_xlfn.RANK.EQ(Table13[[#This Row],[Gesamt S&amp;R]],Table13[Gesamt S&amp;R],0)," ")</f>
        <v xml:space="preserve"> </v>
      </c>
      <c r="AB51" s="11"/>
      <c r="AC51" s="13" t="str">
        <f>IF(Table13[[#This Row],[Zeit LC]]&gt;0,_xlfn.RANK.EQ(Table13[[#This Row],[Punkte LC]],Table13[Punkte LC],0)," ")</f>
        <v xml:space="preserve"> </v>
      </c>
      <c r="AD51" s="9">
        <f>IF(Table13[[#This Row],[Zeit LC]]&gt;0,MIN(Table13[Zeit LC])/Table13[[#This Row],[Zeit LC]]*1000,0)</f>
        <v>0</v>
      </c>
      <c r="AE51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1" s="9">
        <f>(Table13[[#This Row],[Punkte LC]]+Table13[[#This Row],[Bonus LC]])</f>
        <v>0</v>
      </c>
      <c r="AG51" s="13" t="str">
        <f>IF(Table13[[#This Row],[Zeit LC]]&gt;0,_xlfn.RANK.EQ(Table13[[#This Row],[Gesamt LC]],Table13[Gesamt LC],0)," ")</f>
        <v xml:space="preserve"> </v>
      </c>
      <c r="AH51" s="15">
        <f>MAX( Z51,AF51)</f>
        <v>0</v>
      </c>
      <c r="AI51" s="11">
        <v>3.0358796296296297E-2</v>
      </c>
      <c r="AJ51" s="5">
        <f>IF(Table13[[#This Row],[Zeit BZF]]&gt;0,_xlfn.RANK.EQ(Table13[[#This Row],[Punkte BZF]],Table13[Punkte BZF],0)," ")</f>
        <v>12</v>
      </c>
      <c r="AK51" s="9">
        <f>IF(Table13[[#This Row],[Zeit BZF]]&gt;0,MIN(Table13[Zeit BZF])/Table13[[#This Row],[Zeit BZF]]*1000,0)</f>
        <v>683.56843309187946</v>
      </c>
      <c r="AL51" s="10">
        <f>IF(Table13[[#This Row],[Zeit BZF]]&gt;0,SUM(IF(Table13[[#This Row],[Alter]]&gt;40,(Table13[[#This Row],[Alter]]-40)*4,0),IF(AND(Table13[[#This Row],[Alter]]&lt;20,Table13[[#This Row],[Alter]]&gt;0),(20-Table13[[#This Row],[Alter]])*10,0)),0)</f>
        <v>20</v>
      </c>
      <c r="AM51" s="9">
        <f>(Table13[[#This Row],[Punkte BZF]]+Table13[[#This Row],[Bonus BZF]])</f>
        <v>703.56843309187946</v>
      </c>
      <c r="AN51" s="13">
        <f>IF(Table13[[#This Row],[Zeit BZF]]&gt;0,_xlfn.RANK.EQ(Table13[[#This Row],[Gesamt BZF]],Table13[Gesamt BZF],0)," ")</f>
        <v>11</v>
      </c>
      <c r="AO51" s="11"/>
      <c r="AP51" s="5" t="str">
        <f>IF(Table13[[#This Row],[Zeit EZF]]&gt;0,_xlfn.RANK.EQ(Table13[[#This Row],[Punkte EZF]],Table13[Punkte EZF],0)," ")</f>
        <v xml:space="preserve"> </v>
      </c>
      <c r="AQ51" s="9">
        <f>IF(Table13[[#This Row],[Zeit EZF]]&gt;0,MIN(Table13[Zeit EZF])/Table13[[#This Row],[Zeit EZF]]*1000,0)</f>
        <v>0</v>
      </c>
      <c r="AR51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1" s="9">
        <f>(Table13[[#This Row],[Punkte EZF]]+Table13[[#This Row],[Bonus EZF]])</f>
        <v>0</v>
      </c>
      <c r="AT51" s="13" t="str">
        <f>IF(Table13[[#This Row],[Zeit EZF]]&gt;0,_xlfn.RANK.EQ(Table13[[#This Row],[Gesamt EZF]],Table13[Gesamt EZF],0)," ")</f>
        <v xml:space="preserve"> </v>
      </c>
      <c r="AU51" s="17">
        <f t="shared" ref="AU51:AU56" si="14">MAX( AM51,AS51)</f>
        <v>703.56843309187946</v>
      </c>
    </row>
    <row r="52" spans="1:47" x14ac:dyDescent="0.25">
      <c r="A52" s="1" t="s">
        <v>170</v>
      </c>
      <c r="B52" s="1" t="s">
        <v>61</v>
      </c>
      <c r="C52" s="5"/>
      <c r="D52" s="5">
        <v>1974</v>
      </c>
      <c r="E52" s="5">
        <f>IF(Table13[[#This Row],[JG]],2026-Table13[[#This Row],[JG]],0)</f>
        <v>52</v>
      </c>
      <c r="F52" s="5"/>
      <c r="G52" s="26">
        <f>SUM(U52, AH52, AU52)</f>
        <v>692.03735632183896</v>
      </c>
      <c r="H52" s="24">
        <f>_xlfn.RANK.EQ(Table13[[#This Row],[Gesamtpunkte]],Table13[Gesamtpunkte],0)</f>
        <v>50</v>
      </c>
      <c r="I52" s="19"/>
      <c r="J52" s="20" t="str">
        <f>IF(Table13[[#This Row],[Zeit LSC]]&gt;0,_xlfn.RANK.EQ(Table13[[#This Row],[Punkte LSC]],Table13[Punkte LSC],0)," ")</f>
        <v xml:space="preserve"> </v>
      </c>
      <c r="K52" s="21">
        <f>IF(Table13[[#This Row],[Zeit LSC]]&gt;0,MIN(Table13[Zeit LSC])/Table13[[#This Row],[Zeit LSC]]*1000,0)</f>
        <v>0</v>
      </c>
      <c r="L52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2" s="21">
        <f>(Table13[[#This Row],[Punkte LSC]]+Table13[[#This Row],[Bonus LSC]])</f>
        <v>0</v>
      </c>
      <c r="N52" s="23" t="str">
        <f>IF(Table13[[#This Row],[Zeit LSC]]&gt;0,_xlfn.RANK.EQ(Table13[[#This Row],[Gesamt LSC]],Table13[Gesamt LSC],0)," ")</f>
        <v xml:space="preserve"> </v>
      </c>
      <c r="O52" s="5"/>
      <c r="P52" s="5" t="str">
        <f>IF(Table13[[#This Row],[Zeit LKC]]&gt;0,_xlfn.RANK.EQ(Table13[[#This Row],[Punkte LKC]],Table13[Punkte LKC],0)," ")</f>
        <v xml:space="preserve"> </v>
      </c>
      <c r="Q52" s="6">
        <f>IF(Table13[[#This Row],[Zeit LKC]]&gt;0,MIN(Table13[Zeit LKC])/Table13[[#This Row],[Zeit LKC]]*1000,0)</f>
        <v>0</v>
      </c>
      <c r="R52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2" s="9">
        <f>(Table13[[#This Row],[Punkte LKC]]+Table13[[#This Row],[Bonus LKC]])</f>
        <v>0</v>
      </c>
      <c r="T52" s="13" t="str">
        <f>IF(Table13[[#This Row],[Zeit LKC]]&gt;0,_xlfn.RANK.EQ(Table13[[#This Row],[Gesamt LKC]],Table13[Gesamt LKC],0)," ")</f>
        <v xml:space="preserve"> </v>
      </c>
      <c r="U52" s="15">
        <f>MAX( S52,M52)</f>
        <v>0</v>
      </c>
      <c r="V52" s="11"/>
      <c r="W52" s="5" t="str">
        <f>IF(Table13[[#This Row],[Zeit S&amp;R]]&gt;0,_xlfn.RANK.EQ(Table13[[#This Row],[Punkte S&amp;R]],Table13[Punkte S&amp;R],0)," ")</f>
        <v xml:space="preserve"> </v>
      </c>
      <c r="X52" s="9">
        <f>IF(Table13[[#This Row],[Zeit S&amp;R]]&gt;0,MIN(Table13[Zeit S&amp;R])/Table13[[#This Row],[Zeit S&amp;R]]*1000,0)</f>
        <v>0</v>
      </c>
      <c r="Y52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2" s="9">
        <f>(Table13[[#This Row],[Punkte S&amp;R]]+Table13[[#This Row],[Bonus S&amp;R]])</f>
        <v>0</v>
      </c>
      <c r="AA52" s="13" t="str">
        <f>IF(Table13[[#This Row],[Zeit S&amp;R]]&gt;0,_xlfn.RANK.EQ(Table13[[#This Row],[Gesamt S&amp;R]],Table13[Gesamt S&amp;R],0)," ")</f>
        <v xml:space="preserve"> </v>
      </c>
      <c r="AB52" s="11"/>
      <c r="AC52" s="13" t="str">
        <f>IF(Table13[[#This Row],[Zeit LC]]&gt;0,_xlfn.RANK.EQ(Table13[[#This Row],[Punkte LC]],Table13[Punkte LC],0)," ")</f>
        <v xml:space="preserve"> </v>
      </c>
      <c r="AD52" s="9">
        <f>IF(Table13[[#This Row],[Zeit LC]]&gt;0,MIN(Table13[Zeit LC])/Table13[[#This Row],[Zeit LC]]*1000,0)</f>
        <v>0</v>
      </c>
      <c r="AE52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2" s="9">
        <f>(Table13[[#This Row],[Punkte LC]]+Table13[[#This Row],[Bonus LC]])</f>
        <v>0</v>
      </c>
      <c r="AG52" s="13" t="str">
        <f>IF(Table13[[#This Row],[Zeit LC]]&gt;0,_xlfn.RANK.EQ(Table13[[#This Row],[Gesamt LC]],Table13[Gesamt LC],0)," ")</f>
        <v xml:space="preserve"> </v>
      </c>
      <c r="AH52" s="15">
        <f>MAX( Z52,AF52)</f>
        <v>0</v>
      </c>
      <c r="AI52" s="11">
        <v>3.2222222222222222E-2</v>
      </c>
      <c r="AJ52" s="5">
        <f>IF(Table13[[#This Row],[Zeit BZF]]&gt;0,_xlfn.RANK.EQ(Table13[[#This Row],[Punkte BZF]],Table13[Punkte BZF],0)," ")</f>
        <v>14</v>
      </c>
      <c r="AK52" s="9">
        <f>IF(Table13[[#This Row],[Zeit BZF]]&gt;0,MIN(Table13[Zeit BZF])/Table13[[#This Row],[Zeit BZF]]*1000,0)</f>
        <v>644.03735632183896</v>
      </c>
      <c r="AL52" s="10">
        <f>IF(Table13[[#This Row],[Zeit BZF]]&gt;0,SUM(IF(Table13[[#This Row],[Alter]]&gt;40,(Table13[[#This Row],[Alter]]-40)*4,0),IF(AND(Table13[[#This Row],[Alter]]&lt;20,Table13[[#This Row],[Alter]]&gt;0),(20-Table13[[#This Row],[Alter]])*10,0)),0)</f>
        <v>48</v>
      </c>
      <c r="AM52" s="9">
        <f>(Table13[[#This Row],[Punkte BZF]]+Table13[[#This Row],[Bonus BZF]])</f>
        <v>692.03735632183896</v>
      </c>
      <c r="AN52" s="13">
        <f>IF(Table13[[#This Row],[Zeit BZF]]&gt;0,_xlfn.RANK.EQ(Table13[[#This Row],[Gesamt BZF]],Table13[Gesamt BZF],0)," ")</f>
        <v>13</v>
      </c>
      <c r="AO52" s="11"/>
      <c r="AP52" s="5" t="str">
        <f>IF(Table13[[#This Row],[Zeit EZF]]&gt;0,_xlfn.RANK.EQ(Table13[[#This Row],[Punkte EZF]],Table13[Punkte EZF],0)," ")</f>
        <v xml:space="preserve"> </v>
      </c>
      <c r="AQ52" s="9">
        <f>IF(Table13[[#This Row],[Zeit EZF]]&gt;0,MIN(Table13[Zeit EZF])/Table13[[#This Row],[Zeit EZF]]*1000,0)</f>
        <v>0</v>
      </c>
      <c r="AR52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2" s="9">
        <f>(Table13[[#This Row],[Punkte EZF]]+Table13[[#This Row],[Bonus EZF]])</f>
        <v>0</v>
      </c>
      <c r="AT52" s="13" t="str">
        <f>IF(Table13[[#This Row],[Zeit EZF]]&gt;0,_xlfn.RANK.EQ(Table13[[#This Row],[Gesamt EZF]],Table13[Gesamt EZF],0)," ")</f>
        <v xml:space="preserve"> </v>
      </c>
      <c r="AU52" s="17">
        <f t="shared" ref="AU52" si="15">MAX( AM52,AS52)</f>
        <v>692.03735632183896</v>
      </c>
    </row>
    <row r="53" spans="1:47" x14ac:dyDescent="0.25">
      <c r="A53" s="1" t="s">
        <v>122</v>
      </c>
      <c r="B53" s="1" t="s">
        <v>101</v>
      </c>
      <c r="C53" s="5"/>
      <c r="D53" s="5">
        <v>1999</v>
      </c>
      <c r="E53" s="5">
        <f>IF(Table13[[#This Row],[JG]],2026-Table13[[#This Row],[JG]],0)</f>
        <v>27</v>
      </c>
      <c r="F53" s="4" t="s">
        <v>34</v>
      </c>
      <c r="G53" s="26">
        <f>SUM(U53, AH53, AU53)</f>
        <v>681.5907953976988</v>
      </c>
      <c r="H53" s="24">
        <f>_xlfn.RANK.EQ(Table13[[#This Row],[Gesamtpunkte]],Table13[Gesamtpunkte],0)</f>
        <v>51</v>
      </c>
      <c r="I53" s="11"/>
      <c r="J53" s="4" t="str">
        <f>IF(Table13[[#This Row],[Zeit LSC]]&gt;0,_xlfn.RANK.EQ(Table13[[#This Row],[Punkte LSC]],Table13[Punkte LSC],0)," ")</f>
        <v xml:space="preserve"> </v>
      </c>
      <c r="K53" s="9">
        <f>IF(Table13[[#This Row],[Zeit LSC]]&gt;0,MIN(Table13[Zeit LSC])/Table13[[#This Row],[Zeit LSC]]*1000,0)</f>
        <v>0</v>
      </c>
      <c r="L53" s="10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3" s="9">
        <f>(Table13[[#This Row],[Punkte LSC]]+Table13[[#This Row],[Bonus LSC]])</f>
        <v>0</v>
      </c>
      <c r="N53" s="12" t="str">
        <f>IF(Table13[[#This Row],[Zeit LSC]]&gt;0,_xlfn.RANK.EQ(Table13[[#This Row],[Gesamt LSC]],Table13[Gesamt LSC],0)," ")</f>
        <v xml:space="preserve"> </v>
      </c>
      <c r="O53" s="8"/>
      <c r="P53" s="5" t="str">
        <f>IF(Table13[[#This Row],[Zeit LKC]]&gt;0,_xlfn.RANK.EQ(Table13[[#This Row],[Punkte LKC]],Table13[Punkte LKC],0)," ")</f>
        <v xml:space="preserve"> </v>
      </c>
      <c r="Q53" s="6">
        <f>IF(Table13[[#This Row],[Zeit LKC]]&gt;0,MIN(Table13[Zeit LKC])/Table13[[#This Row],[Zeit LKC]]*1000,0)</f>
        <v>0</v>
      </c>
      <c r="R53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3" s="6">
        <f>(Table13[[#This Row],[Punkte LKC]]+Table13[[#This Row],[Bonus LKC]])</f>
        <v>0</v>
      </c>
      <c r="T53" s="12" t="str">
        <f>IF(Table13[[#This Row],[Zeit LKC]]&gt;0,_xlfn.RANK.EQ(Table13[[#This Row],[Gesamt LKC]],Table13[Gesamt LKC],0)," ")</f>
        <v xml:space="preserve"> </v>
      </c>
      <c r="U53" s="15">
        <f>MAX( S53,M53)</f>
        <v>0</v>
      </c>
      <c r="V53" s="11">
        <v>4.6273148148148147E-2</v>
      </c>
      <c r="W53" s="5">
        <f>IF(Table13[[#This Row],[Zeit S&amp;R]]&gt;0,_xlfn.RANK.EQ(Table13[[#This Row],[Punkte S&amp;R]],Table13[Punkte S&amp;R],0)," ")</f>
        <v>18</v>
      </c>
      <c r="X53" s="9">
        <f>IF(Table13[[#This Row],[Zeit S&amp;R]]&gt;0,MIN(Table13[Zeit S&amp;R])/Table13[[#This Row],[Zeit S&amp;R]]*1000,0)</f>
        <v>681.5907953976988</v>
      </c>
      <c r="Y53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3" s="9">
        <f>(Table13[[#This Row],[Punkte S&amp;R]]+Table13[[#This Row],[Bonus S&amp;R]])</f>
        <v>681.5907953976988</v>
      </c>
      <c r="AA53" s="12">
        <f>IF(Table13[[#This Row],[Zeit S&amp;R]]&gt;0,_xlfn.RANK.EQ(Table13[[#This Row],[Gesamt S&amp;R]],Table13[Gesamt S&amp;R],0)," ")</f>
        <v>18</v>
      </c>
      <c r="AB53" s="11"/>
      <c r="AC53" s="12" t="str">
        <f>IF(Table13[[#This Row],[Zeit LC]]&gt;0,_xlfn.RANK.EQ(Table13[[#This Row],[Punkte LC]],Table13[Punkte LC],0)," ")</f>
        <v xml:space="preserve"> </v>
      </c>
      <c r="AD53" s="9">
        <f>IF(Table13[[#This Row],[Zeit LC]]&gt;0,MIN(Table13[Zeit LC])/Table13[[#This Row],[Zeit LC]]*1000,0)</f>
        <v>0</v>
      </c>
      <c r="AE53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3" s="9">
        <f>(Table13[[#This Row],[Punkte LC]]+Table13[[#This Row],[Bonus LC]])</f>
        <v>0</v>
      </c>
      <c r="AG53" s="12" t="str">
        <f>IF(Table13[[#This Row],[Zeit LC]]&gt;0,_xlfn.RANK.EQ(Table13[[#This Row],[Gesamt LC]],Table13[Gesamt LC],0)," ")</f>
        <v xml:space="preserve"> </v>
      </c>
      <c r="AH53" s="15">
        <f>MAX( Z53,AF53)</f>
        <v>681.5907953976988</v>
      </c>
      <c r="AI53" s="11"/>
      <c r="AJ53" s="5" t="str">
        <f>IF(Table13[[#This Row],[Zeit BZF]]&gt;0,_xlfn.RANK.EQ(Table13[[#This Row],[Punkte BZF]],Table13[Punkte BZF],0)," ")</f>
        <v xml:space="preserve"> </v>
      </c>
      <c r="AK53" s="9">
        <f>IF(Table13[[#This Row],[Zeit BZF]]&gt;0,MIN(Table13[Zeit BZF])/Table13[[#This Row],[Zeit BZF]]*1000,0)</f>
        <v>0</v>
      </c>
      <c r="AL53" s="7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53" s="9">
        <f>(Table13[[#This Row],[Punkte BZF]]+Table13[[#This Row],[Bonus BZF]])</f>
        <v>0</v>
      </c>
      <c r="AN53" s="12" t="str">
        <f>IF(Table13[[#This Row],[Zeit BZF]]&gt;0,_xlfn.RANK.EQ(Table13[[#This Row],[Gesamt BZF]],Table13[Gesamt BZF],0)," ")</f>
        <v xml:space="preserve"> </v>
      </c>
      <c r="AO53" s="11"/>
      <c r="AP53" s="5" t="str">
        <f>IF(Table13[[#This Row],[Zeit EZF]]&gt;0,_xlfn.RANK.EQ(Table13[[#This Row],[Punkte EZF]],Table13[Punkte EZF],0)," ")</f>
        <v xml:space="preserve"> </v>
      </c>
      <c r="AQ53" s="9">
        <f>IF(Table13[[#This Row],[Zeit EZF]]&gt;0,MIN(Table13[Zeit EZF])/Table13[[#This Row],[Zeit EZF]]*1000,0)</f>
        <v>0</v>
      </c>
      <c r="AR53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3" s="9">
        <f>(Table13[[#This Row],[Punkte EZF]]+Table13[[#This Row],[Bonus EZF]])</f>
        <v>0</v>
      </c>
      <c r="AT53" s="12" t="str">
        <f>IF(Table13[[#This Row],[Zeit EZF]]&gt;0,_xlfn.RANK.EQ(Table13[[#This Row],[Gesamt EZF]],Table13[Gesamt EZF],0)," ")</f>
        <v xml:space="preserve"> </v>
      </c>
      <c r="AU53" s="17">
        <f t="shared" si="14"/>
        <v>0</v>
      </c>
    </row>
    <row r="54" spans="1:47" x14ac:dyDescent="0.25">
      <c r="A54" s="1" t="s">
        <v>104</v>
      </c>
      <c r="B54" s="1" t="s">
        <v>105</v>
      </c>
      <c r="C54" s="4"/>
      <c r="D54" s="4">
        <v>1976</v>
      </c>
      <c r="E54" s="4">
        <f>IF(Table13[[#This Row],[JG]],2026-Table13[[#This Row],[JG]],0)</f>
        <v>50</v>
      </c>
      <c r="F54" s="4"/>
      <c r="G54" s="26">
        <f>SUM(U54, AH54, AU54)</f>
        <v>660.62997577016267</v>
      </c>
      <c r="H54" s="24">
        <f>_xlfn.RANK.EQ(Table13[[#This Row],[Gesamtpunkte]],Table13[Gesamtpunkte],0)</f>
        <v>52</v>
      </c>
      <c r="I54" s="8"/>
      <c r="J54" s="4" t="str">
        <f>IF(Table13[[#This Row],[Zeit LSC]]&gt;0,_xlfn.RANK.EQ(Table13[[#This Row],[Punkte LSC]],Table13[Punkte LSC],0)," ")</f>
        <v xml:space="preserve"> </v>
      </c>
      <c r="K54" s="6">
        <f>IF(Table13[[#This Row],[Zeit LSC]]&gt;0,MIN(Table13[Zeit LSC])/Table13[[#This Row],[Zeit LSC]]*1000,0)</f>
        <v>0</v>
      </c>
      <c r="L54" s="7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4" s="6">
        <f>(Table13[[#This Row],[Punkte LSC]]+Table13[[#This Row],[Bonus LSC]])</f>
        <v>0</v>
      </c>
      <c r="N54" s="12" t="str">
        <f>IF(Table13[[#This Row],[Zeit LSC]]&gt;0,_xlfn.RANK.EQ(Table13[[#This Row],[Gesamt LSC]],Table13[Gesamt LSC],0)," ")</f>
        <v xml:space="preserve"> </v>
      </c>
      <c r="O54" s="8"/>
      <c r="P54" s="4" t="str">
        <f>IF(Table13[[#This Row],[Zeit LKC]]&gt;0,_xlfn.RANK.EQ(Table13[[#This Row],[Punkte LKC]],Table13[Punkte LKC],0)," ")</f>
        <v xml:space="preserve"> </v>
      </c>
      <c r="Q54" s="6">
        <f>IF(Table13[[#This Row],[Zeit LKC]]&gt;0,MIN(Table13[Zeit LKC])/Table13[[#This Row],[Zeit LKC]]*1000,0)</f>
        <v>0</v>
      </c>
      <c r="R54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4" s="6">
        <f>(Table13[[#This Row],[Punkte LKC]]+Table13[[#This Row],[Bonus LKC]])</f>
        <v>0</v>
      </c>
      <c r="T54" s="12" t="str">
        <f>IF(Table13[[#This Row],[Zeit LKC]]&gt;0,_xlfn.RANK.EQ(Table13[[#This Row],[Gesamt LKC]],Table13[Gesamt LKC],0)," ")</f>
        <v xml:space="preserve"> </v>
      </c>
      <c r="U54" s="15">
        <f>MAX( S54,M54)</f>
        <v>0</v>
      </c>
      <c r="V54" s="8"/>
      <c r="W54" s="5" t="str">
        <f>IF(Table13[[#This Row],[Zeit S&amp;R]]&gt;0,_xlfn.RANK.EQ(Table13[[#This Row],[Punkte S&amp;R]],Table13[Punkte S&amp;R],0)," ")</f>
        <v xml:space="preserve"> </v>
      </c>
      <c r="X54" s="6">
        <f>IF(Table13[[#This Row],[Zeit S&amp;R]]&gt;0,MIN(Table13[Zeit S&amp;R])/Table13[[#This Row],[Zeit S&amp;R]]*1000,0)</f>
        <v>0</v>
      </c>
      <c r="Y54" s="7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4" s="6">
        <f>(Table13[[#This Row],[Punkte S&amp;R]]+Table13[[#This Row],[Bonus S&amp;R]])</f>
        <v>0</v>
      </c>
      <c r="AA54" s="12" t="str">
        <f>IF(Table13[[#This Row],[Zeit S&amp;R]]&gt;0,_xlfn.RANK.EQ(Table13[[#This Row],[Gesamt S&amp;R]],Table13[Gesamt S&amp;R],0)," ")</f>
        <v xml:space="preserve"> </v>
      </c>
      <c r="AB54" s="6"/>
      <c r="AC54" s="12" t="str">
        <f>IF(Table13[[#This Row],[Zeit LC]]&gt;0,_xlfn.RANK.EQ(Table13[[#This Row],[Punkte LC]],Table13[Punkte LC],0)," ")</f>
        <v xml:space="preserve"> </v>
      </c>
      <c r="AD54" s="6">
        <f>IF(Table13[[#This Row],[Zeit LC]]&gt;0,MIN(Table13[Zeit LC])/Table13[[#This Row],[Zeit LC]]*1000,0)</f>
        <v>0</v>
      </c>
      <c r="AE54" s="6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4" s="6">
        <f>(Table13[[#This Row],[Punkte LC]]+Table13[[#This Row],[Bonus LC]])</f>
        <v>0</v>
      </c>
      <c r="AG54" s="12" t="str">
        <f>IF(Table13[[#This Row],[Zeit LC]]&gt;0,_xlfn.RANK.EQ(Table13[[#This Row],[Gesamt LC]],Table13[Gesamt LC],0)," ")</f>
        <v xml:space="preserve"> </v>
      </c>
      <c r="AH54" s="15">
        <f>MAX( Z54,AF54)</f>
        <v>0</v>
      </c>
      <c r="AI54" s="8">
        <v>3.3437500000000002E-2</v>
      </c>
      <c r="AJ54" s="5">
        <f>IF(Table13[[#This Row],[Zeit BZF]]&gt;0,_xlfn.RANK.EQ(Table13[[#This Row],[Punkte BZF]],Table13[Punkte BZF],0)," ")</f>
        <v>15</v>
      </c>
      <c r="AK54" s="9">
        <f>IF(Table13[[#This Row],[Zeit BZF]]&gt;0,MIN(Table13[Zeit BZF])/Table13[[#This Row],[Zeit BZF]]*1000,0)</f>
        <v>620.62997577016267</v>
      </c>
      <c r="AL54" s="7">
        <f>IF(Table13[[#This Row],[Zeit BZF]]&gt;0,SUM(IF(Table13[[#This Row],[Alter]]&gt;40,(Table13[[#This Row],[Alter]]-40)*4,0),IF(AND(Table13[[#This Row],[Alter]]&lt;20,Table13[[#This Row],[Alter]]&gt;0),(20-Table13[[#This Row],[Alter]])*10,0)),0)</f>
        <v>40</v>
      </c>
      <c r="AM54" s="6">
        <f>(Table13[[#This Row],[Punkte BZF]]+Table13[[#This Row],[Bonus BZF]])</f>
        <v>660.62997577016267</v>
      </c>
      <c r="AN54" s="12">
        <f>IF(Table13[[#This Row],[Zeit BZF]]&gt;0,_xlfn.RANK.EQ(Table13[[#This Row],[Gesamt BZF]],Table13[Gesamt BZF],0)," ")</f>
        <v>15</v>
      </c>
      <c r="AO54" s="8"/>
      <c r="AP54" s="5" t="str">
        <f>IF(Table13[[#This Row],[Zeit EZF]]&gt;0,_xlfn.RANK.EQ(Table13[[#This Row],[Punkte EZF]],Table13[Punkte EZF],0)," ")</f>
        <v xml:space="preserve"> </v>
      </c>
      <c r="AQ54" s="9">
        <f>IF(Table13[[#This Row],[Zeit EZF]]&gt;0,MIN(Table13[Zeit EZF])/Table13[[#This Row],[Zeit EZF]]*1000,0)</f>
        <v>0</v>
      </c>
      <c r="AR54" s="7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4" s="6">
        <f>(Table13[[#This Row],[Punkte EZF]]+Table13[[#This Row],[Bonus EZF]])</f>
        <v>0</v>
      </c>
      <c r="AT54" s="12" t="str">
        <f>IF(Table13[[#This Row],[Zeit EZF]]&gt;0,_xlfn.RANK.EQ(Table13[[#This Row],[Gesamt EZF]],Table13[Gesamt EZF],0)," ")</f>
        <v xml:space="preserve"> </v>
      </c>
      <c r="AU54" s="17">
        <f t="shared" si="14"/>
        <v>660.62997577016267</v>
      </c>
    </row>
    <row r="55" spans="1:47" x14ac:dyDescent="0.25">
      <c r="A55" s="1" t="s">
        <v>130</v>
      </c>
      <c r="B55" s="1" t="s">
        <v>131</v>
      </c>
      <c r="C55" s="5"/>
      <c r="D55" s="5">
        <v>1993</v>
      </c>
      <c r="E55" s="5">
        <f>IF(Table13[[#This Row],[JG]],2026-Table13[[#This Row],[JG]],0)</f>
        <v>33</v>
      </c>
      <c r="F55" s="4" t="s">
        <v>34</v>
      </c>
      <c r="G55" s="26">
        <f>SUM(U55, AH55, AU55)</f>
        <v>618.63098301595471</v>
      </c>
      <c r="H55" s="24">
        <f>_xlfn.RANK.EQ(Table13[[#This Row],[Gesamtpunkte]],Table13[Gesamtpunkte],0)</f>
        <v>53</v>
      </c>
      <c r="I55" s="19"/>
      <c r="J55" s="20" t="str">
        <f>IF(Table13[[#This Row],[Zeit LSC]]&gt;0,_xlfn.RANK.EQ(Table13[[#This Row],[Punkte LSC]],Table13[Punkte LSC],0)," ")</f>
        <v xml:space="preserve"> </v>
      </c>
      <c r="K55" s="21">
        <f>IF(Table13[[#This Row],[Zeit LSC]]&gt;0,MIN(Table13[Zeit LSC])/Table13[[#This Row],[Zeit LSC]]*1000,0)</f>
        <v>0</v>
      </c>
      <c r="L55" s="22">
        <f>IF(Table13[[#This Row],[Zeit LSC]]&gt;0,SUM(IF(Table13[[#This Row],[Alter]]&gt;40,(Table13[[#This Row],[Alter]]-40)*4,0),IF(AND(Table13[[#This Row],[Alter]]&lt;20,Table13[[#This Row],[Alter]]&gt;0),(20-Table13[[#This Row],[Alter]])*10,0)),0)</f>
        <v>0</v>
      </c>
      <c r="M55" s="21">
        <f>(Table13[[#This Row],[Punkte LSC]]+Table13[[#This Row],[Bonus LSC]])</f>
        <v>0</v>
      </c>
      <c r="N55" s="23" t="str">
        <f>IF(Table13[[#This Row],[Zeit LSC]]&gt;0,_xlfn.RANK.EQ(Table13[[#This Row],[Gesamt LSC]],Table13[Gesamt LSC],0)," ")</f>
        <v xml:space="preserve"> </v>
      </c>
      <c r="O55" s="11">
        <v>2.2488425925925926E-2</v>
      </c>
      <c r="P55" s="5">
        <f>IF(Table13[[#This Row],[Zeit LKC]]&gt;0,_xlfn.RANK.EQ(Table13[[#This Row],[Punkte LKC]],Table13[Punkte LKC],0)," ")</f>
        <v>8</v>
      </c>
      <c r="Q55" s="6">
        <f>IF(Table13[[#This Row],[Zeit LKC]]&gt;0,MIN(Table13[Zeit LKC])/Table13[[#This Row],[Zeit LKC]]*1000,0)</f>
        <v>618.63098301595471</v>
      </c>
      <c r="R55" s="10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5" s="9">
        <f>(Table13[[#This Row],[Punkte LKC]]+Table13[[#This Row],[Bonus LKC]])</f>
        <v>618.63098301595471</v>
      </c>
      <c r="T55" s="9">
        <f>IF(Table13[[#This Row],[Zeit LKC]]&gt;0,_xlfn.RANK.EQ(Table13[[#This Row],[Gesamt LKC]],Table13[Gesamt LKC],0)," ")</f>
        <v>9</v>
      </c>
      <c r="U55" s="15">
        <f>MAX( S55,M55)</f>
        <v>618.63098301595471</v>
      </c>
      <c r="V55" s="11"/>
      <c r="W55" s="5" t="str">
        <f>IF(Table13[[#This Row],[Zeit S&amp;R]]&gt;0,_xlfn.RANK.EQ(Table13[[#This Row],[Punkte S&amp;R]],Table13[Punkte S&amp;R],0)," ")</f>
        <v xml:space="preserve"> </v>
      </c>
      <c r="X55" s="9">
        <f>IF(Table13[[#This Row],[Zeit S&amp;R]]&gt;0,MIN(Table13[Zeit S&amp;R])/Table13[[#This Row],[Zeit S&amp;R]]*1000,0)</f>
        <v>0</v>
      </c>
      <c r="Y55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5" s="9">
        <f>(Table13[[#This Row],[Punkte S&amp;R]]+Table13[[#This Row],[Bonus S&amp;R]])</f>
        <v>0</v>
      </c>
      <c r="AA55" s="13" t="str">
        <f>IF(Table13[[#This Row],[Zeit S&amp;R]]&gt;0,_xlfn.RANK.EQ(Table13[[#This Row],[Gesamt S&amp;R]],Table13[Gesamt S&amp;R],0)," ")</f>
        <v xml:space="preserve"> </v>
      </c>
      <c r="AB55" s="11"/>
      <c r="AC55" s="13" t="str">
        <f>IF(Table13[[#This Row],[Zeit LC]]&gt;0,_xlfn.RANK.EQ(Table13[[#This Row],[Punkte LC]],Table13[Punkte LC],0)," ")</f>
        <v xml:space="preserve"> </v>
      </c>
      <c r="AD55" s="9">
        <f>IF(Table13[[#This Row],[Zeit LC]]&gt;0,MIN(Table13[Zeit LC])/Table13[[#This Row],[Zeit LC]]*1000,0)</f>
        <v>0</v>
      </c>
      <c r="AE55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5" s="9">
        <f>(Table13[[#This Row],[Punkte LC]]+Table13[[#This Row],[Bonus LC]])</f>
        <v>0</v>
      </c>
      <c r="AG55" s="13" t="str">
        <f>IF(Table13[[#This Row],[Zeit LC]]&gt;0,_xlfn.RANK.EQ(Table13[[#This Row],[Gesamt LC]],Table13[Gesamt LC],0)," ")</f>
        <v xml:space="preserve"> </v>
      </c>
      <c r="AH55" s="15">
        <f>MAX( Z55,AF55)</f>
        <v>0</v>
      </c>
      <c r="AI55" s="11"/>
      <c r="AJ55" s="5" t="str">
        <f>IF(Table13[[#This Row],[Zeit BZF]]&gt;0,_xlfn.RANK.EQ(Table13[[#This Row],[Punkte BZF]],Table13[Punkte BZF],0)," ")</f>
        <v xml:space="preserve"> </v>
      </c>
      <c r="AK55" s="9">
        <f>IF(Table13[[#This Row],[Zeit BZF]]&gt;0,MIN(Table13[Zeit BZF])/Table13[[#This Row],[Zeit BZF]]*1000,0)</f>
        <v>0</v>
      </c>
      <c r="AL55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55" s="9">
        <f>(Table13[[#This Row],[Punkte BZF]]+Table13[[#This Row],[Bonus BZF]])</f>
        <v>0</v>
      </c>
      <c r="AN55" s="13" t="str">
        <f>IF(Table13[[#This Row],[Zeit BZF]]&gt;0,_xlfn.RANK.EQ(Table13[[#This Row],[Gesamt BZF]],Table13[Gesamt BZF],0)," ")</f>
        <v xml:space="preserve"> </v>
      </c>
      <c r="AO55" s="11"/>
      <c r="AP55" s="5" t="str">
        <f>IF(Table13[[#This Row],[Zeit EZF]]&gt;0,_xlfn.RANK.EQ(Table13[[#This Row],[Punkte EZF]],Table13[Punkte EZF],0)," ")</f>
        <v xml:space="preserve"> </v>
      </c>
      <c r="AQ55" s="9">
        <f>IF(Table13[[#This Row],[Zeit EZF]]&gt;0,MIN(Table13[Zeit EZF])/Table13[[#This Row],[Zeit EZF]]*1000,0)</f>
        <v>0</v>
      </c>
      <c r="AR55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5" s="9">
        <f>(Table13[[#This Row],[Punkte EZF]]+Table13[[#This Row],[Bonus EZF]])</f>
        <v>0</v>
      </c>
      <c r="AT55" s="13" t="str">
        <f>IF(Table13[[#This Row],[Zeit EZF]]&gt;0,_xlfn.RANK.EQ(Table13[[#This Row],[Gesamt EZF]],Table13[Gesamt EZF],0)," ")</f>
        <v xml:space="preserve"> </v>
      </c>
      <c r="AU55" s="17">
        <f t="shared" ref="AU55" si="16">MAX( AM55,AS55)</f>
        <v>0</v>
      </c>
    </row>
    <row r="56" spans="1:47" x14ac:dyDescent="0.25">
      <c r="A56" s="1" t="s">
        <v>88</v>
      </c>
      <c r="B56" s="1" t="s">
        <v>89</v>
      </c>
      <c r="C56" s="5"/>
      <c r="D56" s="5">
        <v>2009</v>
      </c>
      <c r="E56" s="5">
        <f>IF(Table13[[#This Row],[JG]],2026-Table13[[#This Row],[JG]],0)</f>
        <v>17</v>
      </c>
      <c r="F56" s="5"/>
      <c r="G56" s="26">
        <f>SUM(U56, AH56, AU56)</f>
        <v>397.11395954336075</v>
      </c>
      <c r="H56" s="24">
        <f>_xlfn.RANK.EQ(Table13[[#This Row],[Gesamtpunkte]],Table13[Gesamtpunkte],0)</f>
        <v>54</v>
      </c>
      <c r="I56" s="8">
        <v>5.7789351851851849E-2</v>
      </c>
      <c r="J56" s="4">
        <f>IF(Table13[[#This Row],[Zeit LSC]]&gt;0,_xlfn.RANK.EQ(Table13[[#This Row],[Punkte LSC]],Table13[Punkte LSC],0)," ")</f>
        <v>7</v>
      </c>
      <c r="K56" s="6">
        <f>IF(Table13[[#This Row],[Zeit LSC]]&gt;0,MIN(Table13[Zeit LSC])/Table13[[#This Row],[Zeit LSC]]*1000,0)</f>
        <v>367.11395954336075</v>
      </c>
      <c r="L56" s="7">
        <f>IF(Table13[[#This Row],[Zeit LSC]]&gt;0,SUM(IF(Table13[[#This Row],[Alter]]&gt;40,(Table13[[#This Row],[Alter]]-40)*4,0),IF(AND(Table13[[#This Row],[Alter]]&lt;20,Table13[[#This Row],[Alter]]&gt;0),(20-Table13[[#This Row],[Alter]])*10,0)),0)</f>
        <v>30</v>
      </c>
      <c r="M56" s="6">
        <f>(Table13[[#This Row],[Punkte LSC]]+Table13[[#This Row],[Bonus LSC]])</f>
        <v>397.11395954336075</v>
      </c>
      <c r="N56" s="12">
        <f>IF(Table13[[#This Row],[Zeit LSC]]&gt;0,_xlfn.RANK.EQ(Table13[[#This Row],[Gesamt LSC]],Table13[Gesamt LSC],0)," ")</f>
        <v>7</v>
      </c>
      <c r="O56" s="4"/>
      <c r="P56" s="4" t="str">
        <f>IF(Table13[[#This Row],[Zeit LKC]]&gt;0,_xlfn.RANK.EQ(Table13[[#This Row],[Punkte LKC]],Table13[Punkte LKC],0)," ")</f>
        <v xml:space="preserve"> </v>
      </c>
      <c r="Q56" s="6">
        <f>IF(Table13[[#This Row],[Zeit LKC]]&gt;0,MIN(Table13[Zeit LKC])/Table13[[#This Row],[Zeit LKC]]*1000,0)</f>
        <v>0</v>
      </c>
      <c r="R56" s="7">
        <f>IF(Table13[[#This Row],[Zeit LKC]]&gt;0,SUM(IF(Table13[[#This Row],[Alter]]&gt;40,(Table13[[#This Row],[Alter]]-40)*4,0),IF(AND(Table13[[#This Row],[Alter]]&lt;20,Table13[[#This Row],[Alter]]&gt;0),(20-Table13[[#This Row],[Alter]])*10,0)),0)</f>
        <v>0</v>
      </c>
      <c r="S56" s="6">
        <f>(Table13[[#This Row],[Punkte LKC]]+Table13[[#This Row],[Bonus LKC]])</f>
        <v>0</v>
      </c>
      <c r="T56" s="6" t="str">
        <f>IF(Table13[[#This Row],[Zeit LKC]]&gt;0,_xlfn.RANK.EQ(Table13[[#This Row],[Gesamt LKC]],Table13[Gesamt LKC],0)," ")</f>
        <v xml:space="preserve"> </v>
      </c>
      <c r="U56" s="15">
        <f>MAX( S56,M56)</f>
        <v>397.11395954336075</v>
      </c>
      <c r="V56" s="11"/>
      <c r="W56" s="5" t="str">
        <f>IF(Table13[[#This Row],[Zeit S&amp;R]]&gt;0,_xlfn.RANK.EQ(Table13[[#This Row],[Punkte S&amp;R]],Table13[Punkte S&amp;R],0)," ")</f>
        <v xml:space="preserve"> </v>
      </c>
      <c r="X56" s="9">
        <f>IF(Table13[[#This Row],[Zeit S&amp;R]]&gt;0,MIN(Table13[Zeit S&amp;R])/Table13[[#This Row],[Zeit S&amp;R]]*1000,0)</f>
        <v>0</v>
      </c>
      <c r="Y56" s="10">
        <f>IF(Table13[[#This Row],[Zeit S&amp;R]]&gt;0,SUM(IF(Table13[[#This Row],[Alter]]&gt;40,(Table13[[#This Row],[Alter]]-40)*4,0),IF(AND(Table13[[#This Row],[Alter]]&lt;20,Table13[[#This Row],[Alter]]&gt;0),(20-Table13[[#This Row],[Alter]])*10,0)),0)</f>
        <v>0</v>
      </c>
      <c r="Z56" s="9">
        <f>(Table13[[#This Row],[Punkte S&amp;R]]+Table13[[#This Row],[Bonus S&amp;R]])</f>
        <v>0</v>
      </c>
      <c r="AA56" s="13" t="str">
        <f>IF(Table13[[#This Row],[Zeit S&amp;R]]&gt;0,_xlfn.RANK.EQ(Table13[[#This Row],[Gesamt S&amp;R]],Table13[Gesamt S&amp;R],0)," ")</f>
        <v xml:space="preserve"> </v>
      </c>
      <c r="AB56" s="11"/>
      <c r="AC56" s="13" t="str">
        <f>IF(Table13[[#This Row],[Zeit LC]]&gt;0,_xlfn.RANK.EQ(Table13[[#This Row],[Punkte LC]],Table13[Punkte LC],0)," ")</f>
        <v xml:space="preserve"> </v>
      </c>
      <c r="AD56" s="9">
        <f>IF(Table13[[#This Row],[Zeit LC]]&gt;0,MIN(Table13[Zeit LC])/Table13[[#This Row],[Zeit LC]]*1000,0)</f>
        <v>0</v>
      </c>
      <c r="AE56" s="9">
        <f>IF(Table13[[#This Row],[Zeit LC]]&gt;0,SUM(IF(Table13[[#This Row],[Alter]]&gt;40,(Table13[[#This Row],[Alter]]-40)*4,0),IF(AND(Table13[[#This Row],[Alter]]&lt;20,Table13[[#This Row],[Alter]]&gt;0),(20-Table13[[#This Row],[Alter]])*10,0)),0)</f>
        <v>0</v>
      </c>
      <c r="AF56" s="9">
        <f>(Table13[[#This Row],[Punkte LC]]+Table13[[#This Row],[Bonus LC]])</f>
        <v>0</v>
      </c>
      <c r="AG56" s="13" t="str">
        <f>IF(Table13[[#This Row],[Zeit LC]]&gt;0,_xlfn.RANK.EQ(Table13[[#This Row],[Gesamt LC]],Table13[Gesamt LC],0)," ")</f>
        <v xml:space="preserve"> </v>
      </c>
      <c r="AH56" s="15">
        <f>MAX( Z56,AF56)</f>
        <v>0</v>
      </c>
      <c r="AI56" s="11"/>
      <c r="AJ56" s="5" t="str">
        <f>IF(Table13[[#This Row],[Zeit BZF]]&gt;0,_xlfn.RANK.EQ(Table13[[#This Row],[Punkte BZF]],Table13[Punkte BZF],0)," ")</f>
        <v xml:space="preserve"> </v>
      </c>
      <c r="AK56" s="9">
        <f>IF(Table13[[#This Row],[Zeit BZF]]&gt;0,MIN(Table13[Zeit BZF])/Table13[[#This Row],[Zeit BZF]]*1000,0)</f>
        <v>0</v>
      </c>
      <c r="AL56" s="10">
        <f>IF(Table13[[#This Row],[Zeit BZF]]&gt;0,SUM(IF(Table13[[#This Row],[Alter]]&gt;40,(Table13[[#This Row],[Alter]]-40)*4,0),IF(AND(Table13[[#This Row],[Alter]]&lt;20,Table13[[#This Row],[Alter]]&gt;0),(20-Table13[[#This Row],[Alter]])*10,0)),0)</f>
        <v>0</v>
      </c>
      <c r="AM56" s="9">
        <f>(Table13[[#This Row],[Punkte BZF]]+Table13[[#This Row],[Bonus BZF]])</f>
        <v>0</v>
      </c>
      <c r="AN56" s="13" t="str">
        <f>IF(Table13[[#This Row],[Zeit BZF]]&gt;0,_xlfn.RANK.EQ(Table13[[#This Row],[Gesamt BZF]],Table13[Gesamt BZF],0)," ")</f>
        <v xml:space="preserve"> </v>
      </c>
      <c r="AO56" s="11"/>
      <c r="AP56" s="5" t="str">
        <f>IF(Table13[[#This Row],[Zeit EZF]]&gt;0,_xlfn.RANK.EQ(Table13[[#This Row],[Punkte EZF]],Table13[Punkte EZF],0)," ")</f>
        <v xml:space="preserve"> </v>
      </c>
      <c r="AQ56" s="9">
        <f>IF(Table13[[#This Row],[Zeit EZF]]&gt;0,MIN(Table13[Zeit EZF])/Table13[[#This Row],[Zeit EZF]]*1000,0)</f>
        <v>0</v>
      </c>
      <c r="AR56" s="10">
        <f>IF(Table13[[#This Row],[Zeit EZF]]&gt;0,SUM(IF(Table13[[#This Row],[Alter]]&gt;40,(Table13[[#This Row],[Alter]]-40)*4,0),IF(AND(Table13[[#This Row],[Alter]]&lt;20,Table13[[#This Row],[Alter]]&gt;0),(20-Table13[[#This Row],[Alter]])*10,0)),0)</f>
        <v>0</v>
      </c>
      <c r="AS56" s="9">
        <f>(Table13[[#This Row],[Punkte EZF]]+Table13[[#This Row],[Bonus EZF]])</f>
        <v>0</v>
      </c>
      <c r="AT56" s="13" t="str">
        <f>IF(Table13[[#This Row],[Zeit EZF]]&gt;0,_xlfn.RANK.EQ(Table13[[#This Row],[Gesamt EZF]],Table13[Gesamt EZF],0)," ")</f>
        <v xml:space="preserve"> </v>
      </c>
      <c r="AU56" s="17">
        <f t="shared" si="14"/>
        <v>0</v>
      </c>
    </row>
    <row r="57" spans="1:47" x14ac:dyDescent="0.25">
      <c r="A57" s="1"/>
      <c r="B57" s="1"/>
      <c r="C57" s="5"/>
      <c r="D57" s="5"/>
      <c r="E57" s="5"/>
      <c r="F57" s="5"/>
      <c r="G57" s="26"/>
      <c r="H57" s="24"/>
      <c r="I57" s="11"/>
      <c r="J57" s="4"/>
      <c r="K57" s="9"/>
      <c r="L57" s="10"/>
      <c r="M57" s="9"/>
      <c r="N57" s="12"/>
      <c r="O57" s="8"/>
      <c r="P57" s="5"/>
      <c r="Q57" s="6"/>
      <c r="R57" s="7"/>
      <c r="S57" s="6"/>
      <c r="T57" s="12"/>
      <c r="U57" s="15"/>
      <c r="V57" s="11"/>
      <c r="W57" s="5"/>
      <c r="X57" s="9"/>
      <c r="Y57" s="7"/>
      <c r="Z57" s="9"/>
      <c r="AA57" s="12"/>
      <c r="AB57" s="11"/>
      <c r="AC57" s="12"/>
      <c r="AD57" s="9"/>
      <c r="AE57" s="9"/>
      <c r="AF57" s="9"/>
      <c r="AG57" s="12"/>
      <c r="AH57" s="15"/>
      <c r="AI57" s="11"/>
      <c r="AJ57" s="5"/>
      <c r="AK57" s="9"/>
      <c r="AL57" s="7"/>
      <c r="AM57" s="9"/>
      <c r="AN57" s="12"/>
      <c r="AO57" s="11"/>
      <c r="AP57" s="5"/>
      <c r="AQ57" s="9"/>
      <c r="AR57" s="7"/>
      <c r="AS57" s="9"/>
      <c r="AT57" s="12"/>
      <c r="AU57" s="17"/>
    </row>
    <row r="58" spans="1:47" x14ac:dyDescent="0.25">
      <c r="A58" s="1"/>
      <c r="B58" s="1"/>
      <c r="C58" s="5"/>
      <c r="D58" s="5"/>
      <c r="E58" s="5"/>
      <c r="F58" s="5"/>
      <c r="G58" s="26"/>
      <c r="H58" s="24"/>
      <c r="I58" s="19"/>
      <c r="J58" s="20"/>
      <c r="K58" s="21"/>
      <c r="L58" s="22"/>
      <c r="M58" s="21"/>
      <c r="N58" s="23"/>
      <c r="O58" s="5"/>
      <c r="P58" s="5"/>
      <c r="Q58" s="6"/>
      <c r="R58" s="10"/>
      <c r="S58" s="9"/>
      <c r="T58" s="13"/>
      <c r="U58" s="15"/>
      <c r="V58" s="11"/>
      <c r="W58" s="5"/>
      <c r="X58" s="9"/>
      <c r="Y58" s="10"/>
      <c r="Z58" s="9"/>
      <c r="AA58" s="13"/>
      <c r="AB58" s="11"/>
      <c r="AC58" s="13"/>
      <c r="AD58" s="9"/>
      <c r="AE58" s="9"/>
      <c r="AF58" s="9"/>
      <c r="AG58" s="13"/>
      <c r="AH58" s="15"/>
      <c r="AI58" s="11"/>
      <c r="AJ58" s="5"/>
      <c r="AK58" s="9"/>
      <c r="AL58" s="10"/>
      <c r="AM58" s="9"/>
      <c r="AN58" s="13"/>
      <c r="AO58" s="11"/>
      <c r="AP58" s="5"/>
      <c r="AQ58" s="9"/>
      <c r="AR58" s="10"/>
      <c r="AS58" s="9"/>
      <c r="AT58" s="13"/>
      <c r="AU58" s="17"/>
    </row>
    <row r="59" spans="1:47" x14ac:dyDescent="0.25">
      <c r="A59" s="1"/>
      <c r="B59" s="1"/>
      <c r="C59" s="5"/>
      <c r="D59" s="5"/>
      <c r="E59" s="5"/>
      <c r="F59" s="5"/>
      <c r="G59" s="26"/>
      <c r="H59" s="24"/>
      <c r="I59" s="19"/>
      <c r="J59" s="20"/>
      <c r="K59" s="21"/>
      <c r="L59" s="22"/>
      <c r="M59" s="21"/>
      <c r="N59" s="23"/>
      <c r="O59" s="5"/>
      <c r="P59" s="5"/>
      <c r="Q59" s="6"/>
      <c r="R59" s="10"/>
      <c r="S59" s="9"/>
      <c r="T59" s="13"/>
      <c r="U59" s="15"/>
      <c r="V59" s="11"/>
      <c r="W59" s="5"/>
      <c r="X59" s="9"/>
      <c r="Y59" s="10"/>
      <c r="Z59" s="9"/>
      <c r="AA59" s="13"/>
      <c r="AB59" s="11"/>
      <c r="AC59" s="13"/>
      <c r="AD59" s="9"/>
      <c r="AE59" s="9"/>
      <c r="AF59" s="9"/>
      <c r="AG59" s="13"/>
      <c r="AH59" s="15"/>
      <c r="AI59" s="11"/>
      <c r="AJ59" s="5"/>
      <c r="AK59" s="9"/>
      <c r="AL59" s="10"/>
      <c r="AM59" s="9"/>
      <c r="AN59" s="13"/>
      <c r="AO59" s="11"/>
      <c r="AP59" s="5"/>
      <c r="AQ59" s="9"/>
      <c r="AR59" s="10"/>
      <c r="AS59" s="9"/>
      <c r="AT59" s="13"/>
      <c r="AU59" s="17"/>
    </row>
    <row r="60" spans="1:47" x14ac:dyDescent="0.25">
      <c r="A60" s="1"/>
      <c r="B60" s="1"/>
      <c r="C60" s="5"/>
      <c r="D60" s="5"/>
      <c r="E60" s="5"/>
      <c r="F60" s="5"/>
      <c r="G60" s="26"/>
      <c r="H60" s="24"/>
      <c r="I60" s="11"/>
      <c r="J60" s="4"/>
      <c r="K60" s="9"/>
      <c r="L60" s="10"/>
      <c r="M60" s="9"/>
      <c r="N60" s="12"/>
      <c r="O60" s="8"/>
      <c r="P60" s="5"/>
      <c r="Q60" s="6"/>
      <c r="R60" s="7"/>
      <c r="S60" s="6"/>
      <c r="T60" s="12"/>
      <c r="U60" s="15"/>
      <c r="V60" s="11"/>
      <c r="W60" s="5"/>
      <c r="X60" s="9"/>
      <c r="Y60" s="7"/>
      <c r="Z60" s="9"/>
      <c r="AA60" s="12"/>
      <c r="AB60" s="11"/>
      <c r="AC60" s="12"/>
      <c r="AD60" s="9"/>
      <c r="AE60" s="9"/>
      <c r="AF60" s="9"/>
      <c r="AG60" s="12"/>
      <c r="AH60" s="15"/>
      <c r="AI60" s="11"/>
      <c r="AJ60" s="5"/>
      <c r="AK60" s="9"/>
      <c r="AL60" s="7"/>
      <c r="AM60" s="9"/>
      <c r="AN60" s="12"/>
      <c r="AO60" s="11"/>
      <c r="AP60" s="5"/>
      <c r="AQ60" s="9"/>
      <c r="AR60" s="7"/>
      <c r="AS60" s="9"/>
      <c r="AT60" s="12"/>
      <c r="AU60" s="17"/>
    </row>
    <row r="61" spans="1:47" x14ac:dyDescent="0.25">
      <c r="A61" s="1"/>
      <c r="B61" s="1"/>
      <c r="C61" s="4"/>
      <c r="D61" s="4"/>
      <c r="E61" s="4"/>
      <c r="F61" s="4"/>
      <c r="G61" s="26"/>
      <c r="H61" s="24"/>
      <c r="I61" s="8"/>
      <c r="J61" s="4"/>
      <c r="K61" s="6"/>
      <c r="L61" s="7"/>
      <c r="M61" s="6"/>
      <c r="N61" s="12"/>
      <c r="O61" s="8"/>
      <c r="P61" s="4"/>
      <c r="Q61" s="6"/>
      <c r="R61" s="7"/>
      <c r="S61" s="6"/>
      <c r="T61" s="12"/>
      <c r="U61" s="15"/>
      <c r="V61" s="8"/>
      <c r="W61" s="5"/>
      <c r="X61" s="6"/>
      <c r="Y61" s="7"/>
      <c r="Z61" s="6"/>
      <c r="AA61" s="12"/>
      <c r="AB61" s="11"/>
      <c r="AC61" s="12"/>
      <c r="AD61" s="6"/>
      <c r="AE61" s="6"/>
      <c r="AF61" s="6"/>
      <c r="AG61" s="12"/>
      <c r="AH61" s="15"/>
      <c r="AI61" s="8"/>
      <c r="AJ61" s="5"/>
      <c r="AK61" s="9"/>
      <c r="AL61" s="7"/>
      <c r="AM61" s="6"/>
      <c r="AN61" s="12"/>
      <c r="AO61" s="8"/>
      <c r="AP61" s="5"/>
      <c r="AQ61" s="9"/>
      <c r="AR61" s="7"/>
      <c r="AS61" s="6"/>
      <c r="AT61" s="12"/>
      <c r="AU61" s="17"/>
    </row>
    <row r="62" spans="1:47" x14ac:dyDescent="0.25">
      <c r="A62" s="1"/>
      <c r="B62" s="1"/>
      <c r="C62" s="5"/>
      <c r="D62" s="5"/>
      <c r="E62" s="5"/>
      <c r="F62" s="4"/>
      <c r="G62" s="26"/>
      <c r="H62" s="24"/>
      <c r="I62" s="11"/>
      <c r="J62" s="4"/>
      <c r="K62" s="9"/>
      <c r="L62" s="10"/>
      <c r="M62" s="9"/>
      <c r="N62" s="12"/>
      <c r="O62" s="8"/>
      <c r="P62" s="5"/>
      <c r="Q62" s="6"/>
      <c r="R62" s="7"/>
      <c r="S62" s="6"/>
      <c r="T62" s="12"/>
      <c r="U62" s="15"/>
      <c r="V62" s="11"/>
      <c r="W62" s="5"/>
      <c r="X62" s="9"/>
      <c r="Y62" s="7"/>
      <c r="Z62" s="9"/>
      <c r="AA62" s="12"/>
      <c r="AB62" s="11"/>
      <c r="AC62" s="12"/>
      <c r="AD62" s="9"/>
      <c r="AE62" s="9"/>
      <c r="AF62" s="9"/>
      <c r="AG62" s="12"/>
      <c r="AH62" s="15"/>
      <c r="AI62" s="11"/>
      <c r="AJ62" s="5"/>
      <c r="AK62" s="9"/>
      <c r="AL62" s="7"/>
      <c r="AM62" s="9"/>
      <c r="AN62" s="12"/>
      <c r="AO62" s="11"/>
      <c r="AP62" s="5"/>
      <c r="AQ62" s="9"/>
      <c r="AR62" s="7"/>
      <c r="AS62" s="9"/>
      <c r="AT62" s="12"/>
      <c r="AU62" s="17"/>
    </row>
    <row r="63" spans="1:47" x14ac:dyDescent="0.25">
      <c r="A63" s="1"/>
      <c r="B63" s="1"/>
      <c r="C63" s="5"/>
      <c r="D63" s="5"/>
      <c r="E63" s="5"/>
      <c r="F63" s="5"/>
      <c r="G63" s="26"/>
      <c r="H63" s="24"/>
      <c r="I63" s="19"/>
      <c r="J63" s="20"/>
      <c r="K63" s="21"/>
      <c r="L63" s="22"/>
      <c r="M63" s="21"/>
      <c r="N63" s="23"/>
      <c r="O63" s="11"/>
      <c r="P63" s="5"/>
      <c r="Q63" s="6"/>
      <c r="R63" s="10"/>
      <c r="S63" s="9"/>
      <c r="T63" s="13"/>
      <c r="U63" s="15"/>
      <c r="V63" s="11"/>
      <c r="W63" s="5"/>
      <c r="X63" s="9"/>
      <c r="Y63" s="10"/>
      <c r="Z63" s="9"/>
      <c r="AA63" s="13"/>
      <c r="AB63" s="11"/>
      <c r="AC63" s="13"/>
      <c r="AD63" s="9"/>
      <c r="AE63" s="9"/>
      <c r="AF63" s="9"/>
      <c r="AG63" s="13"/>
      <c r="AH63" s="15"/>
      <c r="AI63" s="11"/>
      <c r="AJ63" s="5"/>
      <c r="AK63" s="9"/>
      <c r="AL63" s="10"/>
      <c r="AM63" s="9"/>
      <c r="AN63" s="13"/>
      <c r="AO63" s="11"/>
      <c r="AP63" s="5"/>
      <c r="AQ63" s="9"/>
      <c r="AR63" s="10"/>
      <c r="AS63" s="9"/>
      <c r="AT63" s="13"/>
      <c r="AU63" s="17"/>
    </row>
    <row r="64" spans="1:47" x14ac:dyDescent="0.25">
      <c r="A64" s="1"/>
      <c r="B64" s="1"/>
      <c r="C64" s="5"/>
      <c r="D64" s="5"/>
      <c r="E64" s="5"/>
      <c r="F64" s="4"/>
      <c r="G64" s="26"/>
      <c r="H64" s="24"/>
      <c r="I64" s="11"/>
      <c r="J64" s="4"/>
      <c r="K64" s="9"/>
      <c r="L64" s="10"/>
      <c r="M64" s="9"/>
      <c r="N64" s="12"/>
      <c r="O64" s="8"/>
      <c r="P64" s="5"/>
      <c r="Q64" s="6"/>
      <c r="R64" s="7"/>
      <c r="S64" s="6"/>
      <c r="T64" s="12"/>
      <c r="U64" s="15"/>
      <c r="V64" s="11"/>
      <c r="W64" s="5"/>
      <c r="X64" s="9"/>
      <c r="Y64" s="7"/>
      <c r="Z64" s="9"/>
      <c r="AA64" s="12"/>
      <c r="AB64" s="11"/>
      <c r="AC64" s="12"/>
      <c r="AD64" s="9"/>
      <c r="AE64" s="9"/>
      <c r="AF64" s="9"/>
      <c r="AG64" s="12"/>
      <c r="AH64" s="15"/>
      <c r="AI64" s="11"/>
      <c r="AJ64" s="5"/>
      <c r="AK64" s="9"/>
      <c r="AL64" s="7"/>
      <c r="AM64" s="9"/>
      <c r="AN64" s="12"/>
      <c r="AO64" s="11"/>
      <c r="AP64" s="5"/>
      <c r="AQ64" s="9"/>
      <c r="AR64" s="7"/>
      <c r="AS64" s="9"/>
      <c r="AT64" s="12"/>
      <c r="AU64" s="17"/>
    </row>
    <row r="65" spans="1:47" x14ac:dyDescent="0.25">
      <c r="A65" s="1"/>
      <c r="B65" s="1"/>
      <c r="C65" s="5"/>
      <c r="D65" s="5"/>
      <c r="E65" s="5"/>
      <c r="F65" s="4"/>
      <c r="G65" s="26"/>
      <c r="H65" s="24"/>
      <c r="I65" s="11"/>
      <c r="J65" s="4"/>
      <c r="K65" s="9"/>
      <c r="L65" s="10"/>
      <c r="M65" s="9"/>
      <c r="N65" s="12"/>
      <c r="O65" s="8"/>
      <c r="P65" s="5"/>
      <c r="Q65" s="6"/>
      <c r="R65" s="7"/>
      <c r="S65" s="6"/>
      <c r="T65" s="12"/>
      <c r="U65" s="15"/>
      <c r="V65" s="11"/>
      <c r="W65" s="5"/>
      <c r="X65" s="9"/>
      <c r="Y65" s="7"/>
      <c r="Z65" s="9"/>
      <c r="AA65" s="12"/>
      <c r="AB65" s="11"/>
      <c r="AC65" s="12"/>
      <c r="AD65" s="9"/>
      <c r="AE65" s="9"/>
      <c r="AF65" s="9"/>
      <c r="AG65" s="12"/>
      <c r="AH65" s="15"/>
      <c r="AI65" s="11"/>
      <c r="AJ65" s="5"/>
      <c r="AK65" s="9"/>
      <c r="AL65" s="7"/>
      <c r="AM65" s="9"/>
      <c r="AN65" s="12"/>
      <c r="AO65" s="11"/>
      <c r="AP65" s="5"/>
      <c r="AQ65" s="9"/>
      <c r="AR65" s="7"/>
      <c r="AS65" s="9"/>
      <c r="AT65" s="12"/>
      <c r="AU65" s="17"/>
    </row>
    <row r="66" spans="1:47" x14ac:dyDescent="0.25">
      <c r="A66" s="1"/>
      <c r="B66" s="1"/>
      <c r="C66" s="5"/>
      <c r="D66" s="5"/>
      <c r="E66" s="5"/>
      <c r="F66" s="5"/>
      <c r="G66" s="26"/>
      <c r="H66" s="24"/>
      <c r="I66" s="19"/>
      <c r="J66" s="20"/>
      <c r="K66" s="21"/>
      <c r="L66" s="22"/>
      <c r="M66" s="21"/>
      <c r="N66" s="23"/>
      <c r="O66" s="11"/>
      <c r="P66" s="5"/>
      <c r="Q66" s="6"/>
      <c r="R66" s="10"/>
      <c r="S66" s="9"/>
      <c r="T66" s="13"/>
      <c r="U66" s="15"/>
      <c r="V66" s="11"/>
      <c r="W66" s="5"/>
      <c r="X66" s="9"/>
      <c r="Y66" s="10"/>
      <c r="Z66" s="9"/>
      <c r="AA66" s="13"/>
      <c r="AB66" s="11"/>
      <c r="AC66" s="13"/>
      <c r="AD66" s="9"/>
      <c r="AE66" s="9"/>
      <c r="AF66" s="9"/>
      <c r="AG66" s="13"/>
      <c r="AH66" s="15"/>
      <c r="AI66" s="11"/>
      <c r="AJ66" s="5"/>
      <c r="AK66" s="9"/>
      <c r="AL66" s="10"/>
      <c r="AM66" s="9"/>
      <c r="AN66" s="13"/>
      <c r="AO66" s="11"/>
      <c r="AP66" s="5"/>
      <c r="AQ66" s="9"/>
      <c r="AR66" s="10"/>
      <c r="AS66" s="9"/>
      <c r="AT66" s="13"/>
      <c r="AU66" s="17"/>
    </row>
    <row r="67" spans="1:47" x14ac:dyDescent="0.25">
      <c r="A67" s="1"/>
      <c r="B67" s="1"/>
      <c r="C67" s="4"/>
      <c r="D67" s="4"/>
      <c r="E67" s="4"/>
      <c r="F67" s="4"/>
      <c r="G67" s="26"/>
      <c r="H67" s="24"/>
      <c r="I67" s="8"/>
      <c r="J67" s="4"/>
      <c r="K67" s="6"/>
      <c r="L67" s="7"/>
      <c r="M67" s="6"/>
      <c r="N67" s="12"/>
      <c r="O67" s="8"/>
      <c r="P67" s="4"/>
      <c r="Q67" s="6"/>
      <c r="R67" s="7"/>
      <c r="S67" s="6"/>
      <c r="T67" s="12"/>
      <c r="U67" s="15"/>
      <c r="V67" s="8"/>
      <c r="W67" s="5"/>
      <c r="X67" s="6"/>
      <c r="Y67" s="7"/>
      <c r="Z67" s="6"/>
      <c r="AA67" s="12"/>
      <c r="AB67" s="11"/>
      <c r="AC67" s="12"/>
      <c r="AD67" s="6"/>
      <c r="AE67" s="6"/>
      <c r="AF67" s="6"/>
      <c r="AG67" s="12"/>
      <c r="AH67" s="15"/>
      <c r="AI67" s="8"/>
      <c r="AJ67" s="5"/>
      <c r="AK67" s="9"/>
      <c r="AL67" s="7"/>
      <c r="AM67" s="6"/>
      <c r="AN67" s="12"/>
      <c r="AO67" s="8"/>
      <c r="AP67" s="5"/>
      <c r="AQ67" s="9"/>
      <c r="AR67" s="7"/>
      <c r="AS67" s="6"/>
      <c r="AT67" s="12"/>
      <c r="AU67" s="17"/>
    </row>
    <row r="68" spans="1:47" ht="12" customHeight="1" x14ac:dyDescent="0.25">
      <c r="A68" s="1"/>
      <c r="B68" s="1"/>
      <c r="C68" s="5"/>
      <c r="D68" s="5"/>
      <c r="E68" s="5"/>
      <c r="F68" s="5"/>
      <c r="G68" s="26"/>
      <c r="H68" s="24"/>
      <c r="I68" s="19"/>
      <c r="J68" s="20"/>
      <c r="K68" s="21"/>
      <c r="L68" s="22"/>
      <c r="M68" s="21"/>
      <c r="N68" s="23"/>
      <c r="O68" s="11"/>
      <c r="P68" s="5"/>
      <c r="Q68" s="6"/>
      <c r="R68" s="10"/>
      <c r="S68" s="9"/>
      <c r="T68" s="9"/>
      <c r="U68" s="15"/>
      <c r="V68" s="11"/>
      <c r="W68" s="5"/>
      <c r="X68" s="9"/>
      <c r="Y68" s="10"/>
      <c r="Z68" s="9"/>
      <c r="AA68" s="13"/>
      <c r="AB68" s="11"/>
      <c r="AC68" s="13"/>
      <c r="AD68" s="9"/>
      <c r="AE68" s="9"/>
      <c r="AF68" s="9"/>
      <c r="AG68" s="13"/>
      <c r="AH68" s="15"/>
      <c r="AI68" s="11"/>
      <c r="AJ68" s="5"/>
      <c r="AK68" s="9"/>
      <c r="AL68" s="10"/>
      <c r="AM68" s="9"/>
      <c r="AN68" s="13"/>
      <c r="AO68" s="11"/>
      <c r="AP68" s="5"/>
      <c r="AQ68" s="9"/>
      <c r="AR68" s="10"/>
      <c r="AS68" s="9"/>
      <c r="AT68" s="13"/>
      <c r="AU68" s="17"/>
    </row>
    <row r="69" spans="1:47" ht="12" customHeight="1" x14ac:dyDescent="0.25">
      <c r="A69" s="1"/>
      <c r="B69" s="1"/>
      <c r="C69" s="5"/>
      <c r="D69" s="5"/>
      <c r="E69" s="5"/>
      <c r="F69" s="5"/>
      <c r="G69" s="26"/>
      <c r="H69" s="24"/>
      <c r="I69" s="19"/>
      <c r="J69" s="20"/>
      <c r="K69" s="21"/>
      <c r="L69" s="22"/>
      <c r="M69" s="21"/>
      <c r="N69" s="23"/>
      <c r="O69" s="11"/>
      <c r="P69" s="5"/>
      <c r="Q69" s="6"/>
      <c r="R69" s="10"/>
      <c r="S69" s="9"/>
      <c r="T69" s="9"/>
      <c r="U69" s="15"/>
      <c r="V69" s="11"/>
      <c r="W69" s="5"/>
      <c r="X69" s="9"/>
      <c r="Y69" s="10"/>
      <c r="Z69" s="9"/>
      <c r="AA69" s="13"/>
      <c r="AB69" s="11"/>
      <c r="AC69" s="13"/>
      <c r="AD69" s="9"/>
      <c r="AE69" s="9"/>
      <c r="AF69" s="9"/>
      <c r="AG69" s="13"/>
      <c r="AH69" s="15"/>
      <c r="AI69" s="11"/>
      <c r="AJ69" s="5"/>
      <c r="AK69" s="9"/>
      <c r="AL69" s="10"/>
      <c r="AM69" s="9"/>
      <c r="AN69" s="13"/>
      <c r="AO69" s="11"/>
      <c r="AP69" s="5"/>
      <c r="AQ69" s="9"/>
      <c r="AR69" s="10"/>
      <c r="AS69" s="9"/>
      <c r="AT69" s="13"/>
      <c r="AU69" s="17"/>
    </row>
    <row r="70" spans="1:47" x14ac:dyDescent="0.25">
      <c r="A70" s="1"/>
      <c r="B70" s="1"/>
      <c r="C70" s="4"/>
      <c r="D70" s="4"/>
      <c r="E70" s="4"/>
      <c r="F70" s="4"/>
      <c r="G70" s="26"/>
      <c r="H70" s="24"/>
      <c r="I70" s="8"/>
      <c r="J70" s="4"/>
      <c r="K70" s="6"/>
      <c r="L70" s="7"/>
      <c r="M70" s="6"/>
      <c r="N70" s="12"/>
      <c r="O70" s="8"/>
      <c r="P70" s="4"/>
      <c r="Q70" s="6"/>
      <c r="R70" s="7"/>
      <c r="S70" s="6"/>
      <c r="T70" s="12"/>
      <c r="U70" s="15"/>
      <c r="V70" s="8"/>
      <c r="W70" s="5"/>
      <c r="X70" s="6"/>
      <c r="Y70" s="7"/>
      <c r="Z70" s="6"/>
      <c r="AA70" s="12"/>
      <c r="AB70" s="11"/>
      <c r="AC70" s="12"/>
      <c r="AD70" s="6"/>
      <c r="AE70" s="6"/>
      <c r="AF70" s="6"/>
      <c r="AG70" s="12"/>
      <c r="AH70" s="15"/>
      <c r="AI70" s="8"/>
      <c r="AJ70" s="5"/>
      <c r="AK70" s="9"/>
      <c r="AL70" s="7"/>
      <c r="AM70" s="6"/>
      <c r="AN70" s="12"/>
      <c r="AO70" s="8"/>
      <c r="AP70" s="5"/>
      <c r="AQ70" s="9"/>
      <c r="AR70" s="7"/>
      <c r="AS70" s="6"/>
      <c r="AT70" s="12"/>
      <c r="AU70" s="17"/>
    </row>
    <row r="71" spans="1:47" x14ac:dyDescent="0.25">
      <c r="A71" s="1"/>
      <c r="B71" s="1"/>
      <c r="C71" s="5"/>
      <c r="D71" s="5"/>
      <c r="E71" s="5"/>
      <c r="F71" s="5"/>
      <c r="G71" s="26"/>
      <c r="H71" s="24"/>
      <c r="I71" s="11"/>
      <c r="J71" s="5"/>
      <c r="K71" s="9"/>
      <c r="L71" s="10"/>
      <c r="M71" s="9"/>
      <c r="N71" s="13"/>
      <c r="O71" s="11"/>
      <c r="P71" s="5"/>
      <c r="Q71" s="6"/>
      <c r="R71" s="9"/>
      <c r="S71" s="9"/>
      <c r="T71" s="13"/>
      <c r="U71" s="15"/>
      <c r="V71" s="11"/>
      <c r="W71" s="5"/>
      <c r="X71" s="9"/>
      <c r="Y71" s="10"/>
      <c r="Z71" s="9"/>
      <c r="AA71" s="13"/>
      <c r="AB71" s="11"/>
      <c r="AC71" s="13"/>
      <c r="AD71" s="9"/>
      <c r="AE71" s="9"/>
      <c r="AF71" s="9"/>
      <c r="AG71" s="13"/>
      <c r="AH71" s="15"/>
      <c r="AI71" s="11"/>
      <c r="AJ71" s="5"/>
      <c r="AK71" s="9"/>
      <c r="AL71" s="10"/>
      <c r="AM71" s="9"/>
      <c r="AN71" s="13"/>
      <c r="AO71" s="11"/>
      <c r="AP71" s="5"/>
      <c r="AQ71" s="9"/>
      <c r="AR71" s="10"/>
      <c r="AS71" s="9"/>
      <c r="AT71" s="13"/>
      <c r="AU71" s="17"/>
    </row>
    <row r="72" spans="1:47" x14ac:dyDescent="0.25">
      <c r="A72" s="1"/>
      <c r="B72" s="1"/>
      <c r="C72" s="5"/>
      <c r="D72" s="5"/>
      <c r="E72" s="5"/>
      <c r="F72" s="4"/>
      <c r="G72" s="26"/>
      <c r="H72" s="24"/>
      <c r="I72" s="11"/>
      <c r="J72" s="4"/>
      <c r="K72" s="9"/>
      <c r="L72" s="10"/>
      <c r="M72" s="9"/>
      <c r="N72" s="12"/>
      <c r="O72" s="8"/>
      <c r="P72" s="5"/>
      <c r="Q72" s="6"/>
      <c r="R72" s="7"/>
      <c r="S72" s="6"/>
      <c r="T72" s="12"/>
      <c r="U72" s="15"/>
      <c r="V72" s="11"/>
      <c r="W72" s="5"/>
      <c r="X72" s="9"/>
      <c r="Y72" s="7"/>
      <c r="Z72" s="9"/>
      <c r="AA72" s="12"/>
      <c r="AB72" s="11"/>
      <c r="AC72" s="12"/>
      <c r="AD72" s="9"/>
      <c r="AE72" s="9"/>
      <c r="AF72" s="9"/>
      <c r="AG72" s="12"/>
      <c r="AH72" s="15"/>
      <c r="AI72" s="11"/>
      <c r="AJ72" s="5"/>
      <c r="AK72" s="9"/>
      <c r="AL72" s="7"/>
      <c r="AM72" s="9"/>
      <c r="AN72" s="12"/>
      <c r="AO72" s="8"/>
      <c r="AP72" s="5"/>
      <c r="AQ72" s="9"/>
      <c r="AR72" s="7"/>
      <c r="AS72" s="9"/>
      <c r="AT72" s="12"/>
      <c r="AU72" s="17"/>
    </row>
    <row r="73" spans="1:47" x14ac:dyDescent="0.25">
      <c r="A73" s="18"/>
      <c r="B73" s="18"/>
      <c r="C73" s="5"/>
      <c r="D73" s="5"/>
      <c r="E73" s="5"/>
      <c r="F73" s="5"/>
      <c r="G73" s="26"/>
      <c r="H73" s="24"/>
      <c r="I73" s="11"/>
      <c r="J73" s="4"/>
      <c r="K73" s="9"/>
      <c r="L73" s="10"/>
      <c r="M73" s="9"/>
      <c r="N73" s="12"/>
      <c r="O73" s="8"/>
      <c r="P73" s="5"/>
      <c r="Q73" s="6"/>
      <c r="R73" s="7"/>
      <c r="S73" s="6"/>
      <c r="T73" s="12"/>
      <c r="U73" s="15"/>
      <c r="V73" s="11"/>
      <c r="W73" s="5"/>
      <c r="X73" s="9"/>
      <c r="Y73" s="7"/>
      <c r="Z73" s="9"/>
      <c r="AA73" s="12"/>
      <c r="AB73" s="11"/>
      <c r="AC73" s="12"/>
      <c r="AD73" s="9"/>
      <c r="AE73" s="9"/>
      <c r="AF73" s="9"/>
      <c r="AG73" s="12"/>
      <c r="AH73" s="15"/>
      <c r="AI73" s="11"/>
      <c r="AJ73" s="5"/>
      <c r="AK73" s="9"/>
      <c r="AL73" s="7"/>
      <c r="AM73" s="9"/>
      <c r="AN73" s="12"/>
      <c r="AO73" s="11"/>
      <c r="AP73" s="5"/>
      <c r="AQ73" s="9"/>
      <c r="AR73" s="7"/>
      <c r="AS73" s="9"/>
      <c r="AT73" s="12"/>
      <c r="AU73" s="17"/>
    </row>
    <row r="74" spans="1:47" x14ac:dyDescent="0.25">
      <c r="A74" s="1"/>
      <c r="B74" s="1"/>
      <c r="C74" s="5"/>
      <c r="D74" s="5"/>
      <c r="E74" s="5"/>
      <c r="F74" s="5"/>
      <c r="G74" s="26"/>
      <c r="H74" s="24"/>
      <c r="I74" s="19"/>
      <c r="J74" s="20"/>
      <c r="K74" s="21"/>
      <c r="L74" s="22"/>
      <c r="M74" s="21"/>
      <c r="N74" s="23"/>
      <c r="O74" s="11"/>
      <c r="P74" s="5"/>
      <c r="Q74" s="6"/>
      <c r="R74" s="10"/>
      <c r="S74" s="9"/>
      <c r="T74" s="9"/>
      <c r="U74" s="15"/>
      <c r="V74" s="11"/>
      <c r="W74" s="5"/>
      <c r="X74" s="9"/>
      <c r="Y74" s="10"/>
      <c r="Z74" s="9"/>
      <c r="AA74" s="13"/>
      <c r="AB74" s="11"/>
      <c r="AC74" s="13"/>
      <c r="AD74" s="9"/>
      <c r="AE74" s="9"/>
      <c r="AF74" s="9"/>
      <c r="AG74" s="13"/>
      <c r="AH74" s="15"/>
      <c r="AI74" s="11"/>
      <c r="AJ74" s="5"/>
      <c r="AK74" s="9"/>
      <c r="AL74" s="10"/>
      <c r="AM74" s="9"/>
      <c r="AN74" s="13"/>
      <c r="AO74" s="11"/>
      <c r="AP74" s="5"/>
      <c r="AQ74" s="9"/>
      <c r="AR74" s="10"/>
      <c r="AS74" s="9"/>
      <c r="AT74" s="13"/>
      <c r="AU74" s="17"/>
    </row>
    <row r="75" spans="1:47" x14ac:dyDescent="0.25">
      <c r="A75" s="1"/>
      <c r="B75" s="1"/>
      <c r="C75" s="5"/>
      <c r="D75" s="5"/>
      <c r="E75" s="5"/>
      <c r="F75" s="5"/>
      <c r="G75" s="26"/>
      <c r="H75" s="24"/>
      <c r="I75" s="19"/>
      <c r="J75" s="20"/>
      <c r="K75" s="21"/>
      <c r="L75" s="22"/>
      <c r="M75" s="21"/>
      <c r="N75" s="23"/>
      <c r="O75" s="11"/>
      <c r="P75" s="5"/>
      <c r="Q75" s="6"/>
      <c r="R75" s="10"/>
      <c r="S75" s="9"/>
      <c r="T75" s="9"/>
      <c r="U75" s="15"/>
      <c r="V75" s="11"/>
      <c r="W75" s="5"/>
      <c r="X75" s="9"/>
      <c r="Y75" s="10"/>
      <c r="Z75" s="9"/>
      <c r="AA75" s="13"/>
      <c r="AB75" s="11"/>
      <c r="AC75" s="13"/>
      <c r="AD75" s="9"/>
      <c r="AE75" s="9"/>
      <c r="AF75" s="9"/>
      <c r="AG75" s="13"/>
      <c r="AH75" s="15"/>
      <c r="AI75" s="11"/>
      <c r="AJ75" s="5"/>
      <c r="AK75" s="9"/>
      <c r="AL75" s="10"/>
      <c r="AM75" s="9"/>
      <c r="AN75" s="13"/>
      <c r="AO75" s="11"/>
      <c r="AP75" s="5"/>
      <c r="AQ75" s="9"/>
      <c r="AR75" s="10"/>
      <c r="AS75" s="9"/>
      <c r="AT75" s="13"/>
      <c r="AU75" s="17"/>
    </row>
    <row r="76" spans="1:47" x14ac:dyDescent="0.25">
      <c r="A76" s="1"/>
      <c r="B76" s="1"/>
      <c r="C76" s="5"/>
      <c r="D76" s="5"/>
      <c r="E76" s="5"/>
      <c r="F76" s="5"/>
      <c r="G76" s="26"/>
      <c r="H76" s="24"/>
      <c r="I76" s="11"/>
      <c r="J76" s="5"/>
      <c r="K76" s="9"/>
      <c r="L76" s="10"/>
      <c r="M76" s="9"/>
      <c r="N76" s="13"/>
      <c r="O76" s="11"/>
      <c r="P76" s="5"/>
      <c r="Q76" s="6"/>
      <c r="R76" s="9"/>
      <c r="S76" s="9"/>
      <c r="T76" s="13"/>
      <c r="U76" s="15"/>
      <c r="V76" s="11"/>
      <c r="W76" s="5"/>
      <c r="X76" s="9"/>
      <c r="Y76" s="10"/>
      <c r="Z76" s="9"/>
      <c r="AA76" s="13"/>
      <c r="AB76" s="11"/>
      <c r="AC76" s="13"/>
      <c r="AD76" s="9"/>
      <c r="AE76" s="9"/>
      <c r="AF76" s="9"/>
      <c r="AG76" s="13"/>
      <c r="AH76" s="15"/>
      <c r="AI76" s="11"/>
      <c r="AJ76" s="5"/>
      <c r="AK76" s="9"/>
      <c r="AL76" s="10"/>
      <c r="AM76" s="9"/>
      <c r="AN76" s="13"/>
      <c r="AO76" s="11"/>
      <c r="AP76" s="5"/>
      <c r="AQ76" s="9"/>
      <c r="AR76" s="10"/>
      <c r="AS76" s="9"/>
      <c r="AT76" s="13"/>
      <c r="AU76" s="17"/>
    </row>
    <row r="77" spans="1:47" x14ac:dyDescent="0.25">
      <c r="A77" s="1"/>
      <c r="B77" s="1"/>
      <c r="C77" s="5"/>
      <c r="D77" s="5"/>
      <c r="E77" s="5"/>
      <c r="F77" s="4"/>
      <c r="G77" s="26"/>
      <c r="H77" s="24"/>
      <c r="I77" s="11"/>
      <c r="J77" s="4"/>
      <c r="K77" s="9"/>
      <c r="L77" s="10"/>
      <c r="M77" s="9"/>
      <c r="N77" s="12"/>
      <c r="O77" s="8"/>
      <c r="P77" s="5"/>
      <c r="Q77" s="6"/>
      <c r="R77" s="7"/>
      <c r="S77" s="6"/>
      <c r="T77" s="12"/>
      <c r="U77" s="15"/>
      <c r="V77" s="11"/>
      <c r="W77" s="5"/>
      <c r="X77" s="9"/>
      <c r="Y77" s="7"/>
      <c r="Z77" s="9"/>
      <c r="AA77" s="12"/>
      <c r="AB77" s="11"/>
      <c r="AC77" s="12"/>
      <c r="AD77" s="9"/>
      <c r="AE77" s="9"/>
      <c r="AF77" s="9"/>
      <c r="AG77" s="12"/>
      <c r="AH77" s="15"/>
      <c r="AI77" s="11"/>
      <c r="AJ77" s="5"/>
      <c r="AK77" s="9"/>
      <c r="AL77" s="7"/>
      <c r="AM77" s="9"/>
      <c r="AN77" s="12"/>
      <c r="AO77" s="11"/>
      <c r="AP77" s="5"/>
      <c r="AQ77" s="9"/>
      <c r="AR77" s="7"/>
      <c r="AS77" s="9"/>
      <c r="AT77" s="12"/>
      <c r="AU77" s="17"/>
    </row>
    <row r="78" spans="1:47" x14ac:dyDescent="0.25">
      <c r="A78" s="1"/>
      <c r="B78" s="1"/>
      <c r="C78" s="4"/>
      <c r="D78" s="4"/>
      <c r="E78" s="4"/>
      <c r="F78" s="4"/>
      <c r="G78" s="26"/>
      <c r="H78" s="24"/>
      <c r="I78" s="8"/>
      <c r="J78" s="4"/>
      <c r="K78" s="6"/>
      <c r="L78" s="7"/>
      <c r="M78" s="6"/>
      <c r="N78" s="12"/>
      <c r="O78" s="8"/>
      <c r="P78" s="4"/>
      <c r="Q78" s="6"/>
      <c r="R78" s="7"/>
      <c r="S78" s="6"/>
      <c r="T78" s="12"/>
      <c r="U78" s="15"/>
      <c r="V78" s="8"/>
      <c r="W78" s="5"/>
      <c r="X78" s="6"/>
      <c r="Y78" s="7"/>
      <c r="Z78" s="6"/>
      <c r="AA78" s="12"/>
      <c r="AB78" s="8"/>
      <c r="AC78" s="12"/>
      <c r="AD78" s="6"/>
      <c r="AE78" s="6"/>
      <c r="AF78" s="6"/>
      <c r="AG78" s="12"/>
      <c r="AH78" s="15"/>
      <c r="AI78" s="8"/>
      <c r="AJ78" s="5"/>
      <c r="AK78" s="9"/>
      <c r="AL78" s="7"/>
      <c r="AM78" s="6"/>
      <c r="AN78" s="12"/>
      <c r="AO78" s="8"/>
      <c r="AP78" s="5"/>
      <c r="AQ78" s="9"/>
      <c r="AR78" s="7"/>
      <c r="AS78" s="6"/>
      <c r="AT78" s="12"/>
      <c r="AU78" s="17"/>
    </row>
    <row r="79" spans="1:47" x14ac:dyDescent="0.25">
      <c r="A79" s="1"/>
      <c r="B79" s="1"/>
      <c r="C79" s="4"/>
      <c r="D79" s="4"/>
      <c r="E79" s="4"/>
      <c r="F79" s="4"/>
      <c r="G79" s="26"/>
      <c r="H79" s="24"/>
      <c r="I79" s="8"/>
      <c r="J79" s="4"/>
      <c r="K79" s="6"/>
      <c r="L79" s="7"/>
      <c r="M79" s="6"/>
      <c r="N79" s="12"/>
      <c r="O79" s="8"/>
      <c r="P79" s="4"/>
      <c r="Q79" s="6"/>
      <c r="R79" s="7"/>
      <c r="S79" s="6"/>
      <c r="T79" s="12"/>
      <c r="U79" s="15"/>
      <c r="V79" s="8"/>
      <c r="W79" s="5"/>
      <c r="X79" s="6"/>
      <c r="Y79" s="7"/>
      <c r="Z79" s="6"/>
      <c r="AA79" s="12"/>
      <c r="AB79" s="6"/>
      <c r="AC79" s="12"/>
      <c r="AD79" s="6"/>
      <c r="AE79" s="6"/>
      <c r="AF79" s="6"/>
      <c r="AG79" s="12"/>
      <c r="AH79" s="15"/>
      <c r="AI79" s="8"/>
      <c r="AJ79" s="5"/>
      <c r="AK79" s="9"/>
      <c r="AL79" s="7"/>
      <c r="AM79" s="6"/>
      <c r="AN79" s="12"/>
      <c r="AO79" s="8"/>
      <c r="AP79" s="5"/>
      <c r="AQ79" s="9"/>
      <c r="AR79" s="7"/>
      <c r="AS79" s="6"/>
      <c r="AT79" s="12"/>
      <c r="AU79" s="17"/>
    </row>
    <row r="80" spans="1:47" x14ac:dyDescent="0.25">
      <c r="A80" s="1"/>
      <c r="B80" s="1"/>
      <c r="C80" s="4"/>
      <c r="D80" s="4"/>
      <c r="E80" s="4"/>
      <c r="F80" s="4"/>
      <c r="G80" s="26"/>
      <c r="H80" s="24"/>
      <c r="I80" s="8"/>
      <c r="J80" s="4"/>
      <c r="K80" s="6"/>
      <c r="L80" s="7"/>
      <c r="M80" s="6"/>
      <c r="N80" s="12"/>
      <c r="O80" s="8"/>
      <c r="P80" s="4"/>
      <c r="Q80" s="6"/>
      <c r="R80" s="7"/>
      <c r="S80" s="6"/>
      <c r="T80" s="12"/>
      <c r="U80" s="15"/>
      <c r="V80" s="8"/>
      <c r="W80" s="5"/>
      <c r="X80" s="6"/>
      <c r="Y80" s="7"/>
      <c r="Z80" s="6"/>
      <c r="AA80" s="12"/>
      <c r="AB80" s="8"/>
      <c r="AC80" s="12"/>
      <c r="AD80" s="6"/>
      <c r="AE80" s="6"/>
      <c r="AF80" s="6"/>
      <c r="AG80" s="12"/>
      <c r="AH80" s="15"/>
      <c r="AI80" s="8"/>
      <c r="AJ80" s="5"/>
      <c r="AK80" s="9"/>
      <c r="AL80" s="7"/>
      <c r="AM80" s="6"/>
      <c r="AN80" s="12"/>
      <c r="AO80" s="8"/>
      <c r="AP80" s="5"/>
      <c r="AQ80" s="9"/>
      <c r="AR80" s="7"/>
      <c r="AS80" s="6"/>
      <c r="AT80" s="12"/>
      <c r="AU80" s="17"/>
    </row>
    <row r="81" spans="1:47" x14ac:dyDescent="0.25">
      <c r="A81" s="1"/>
      <c r="B81" s="1"/>
      <c r="C81" s="5"/>
      <c r="D81" s="5"/>
      <c r="E81" s="5"/>
      <c r="F81" s="4"/>
      <c r="G81" s="26"/>
      <c r="H81" s="24"/>
      <c r="I81" s="11"/>
      <c r="J81" s="4"/>
      <c r="K81" s="9"/>
      <c r="L81" s="10"/>
      <c r="M81" s="9"/>
      <c r="N81" s="12"/>
      <c r="O81" s="8"/>
      <c r="P81" s="5"/>
      <c r="Q81" s="6"/>
      <c r="R81" s="7"/>
      <c r="S81" s="6"/>
      <c r="T81" s="12"/>
      <c r="U81" s="15"/>
      <c r="V81" s="11"/>
      <c r="W81" s="5"/>
      <c r="X81" s="9"/>
      <c r="Y81" s="7"/>
      <c r="Z81" s="9"/>
      <c r="AA81" s="12"/>
      <c r="AB81" s="8"/>
      <c r="AC81" s="12"/>
      <c r="AD81" s="9"/>
      <c r="AE81" s="9"/>
      <c r="AF81" s="9"/>
      <c r="AG81" s="12"/>
      <c r="AH81" s="15"/>
      <c r="AI81" s="11"/>
      <c r="AJ81" s="5"/>
      <c r="AK81" s="9"/>
      <c r="AL81" s="7"/>
      <c r="AM81" s="9"/>
      <c r="AN81" s="12"/>
      <c r="AO81" s="11"/>
      <c r="AP81" s="5"/>
      <c r="AQ81" s="9"/>
      <c r="AR81" s="7"/>
      <c r="AS81" s="9"/>
      <c r="AT81" s="12"/>
      <c r="AU81" s="17"/>
    </row>
    <row r="82" spans="1:47" x14ac:dyDescent="0.25">
      <c r="A82" s="1"/>
      <c r="B82" s="1"/>
      <c r="C82" s="5"/>
      <c r="D82" s="5"/>
      <c r="E82" s="5"/>
      <c r="F82" s="5"/>
      <c r="G82" s="26"/>
      <c r="H82" s="24"/>
      <c r="I82" s="19"/>
      <c r="J82" s="20"/>
      <c r="K82" s="21"/>
      <c r="L82" s="22"/>
      <c r="M82" s="21"/>
      <c r="N82" s="23"/>
      <c r="O82" s="11"/>
      <c r="P82" s="5"/>
      <c r="Q82" s="6"/>
      <c r="R82" s="10"/>
      <c r="S82" s="9"/>
      <c r="T82" s="9"/>
      <c r="U82" s="15"/>
      <c r="V82" s="11"/>
      <c r="W82" s="5"/>
      <c r="X82" s="9"/>
      <c r="Y82" s="10"/>
      <c r="Z82" s="9"/>
      <c r="AA82" s="13"/>
      <c r="AB82" s="8"/>
      <c r="AC82" s="13"/>
      <c r="AD82" s="9"/>
      <c r="AE82" s="9"/>
      <c r="AF82" s="9"/>
      <c r="AG82" s="13"/>
      <c r="AH82" s="15"/>
      <c r="AI82" s="8"/>
      <c r="AJ82" s="5"/>
      <c r="AK82" s="9"/>
      <c r="AL82" s="10"/>
      <c r="AM82" s="9"/>
      <c r="AN82" s="13"/>
      <c r="AO82" s="11"/>
      <c r="AP82" s="5"/>
      <c r="AQ82" s="9"/>
      <c r="AR82" s="10"/>
      <c r="AS82" s="9"/>
      <c r="AT82" s="13"/>
      <c r="AU82" s="17"/>
    </row>
    <row r="83" spans="1:47" x14ac:dyDescent="0.25">
      <c r="A83" s="18"/>
      <c r="B83" s="1"/>
      <c r="C83" s="5"/>
      <c r="D83" s="5"/>
      <c r="E83" s="5"/>
      <c r="F83" s="5"/>
      <c r="G83" s="26"/>
      <c r="H83" s="24"/>
      <c r="I83" s="19"/>
      <c r="J83" s="20"/>
      <c r="K83" s="21"/>
      <c r="L83" s="22"/>
      <c r="M83" s="21"/>
      <c r="N83" s="23"/>
      <c r="O83" s="11"/>
      <c r="P83" s="5"/>
      <c r="Q83" s="6"/>
      <c r="R83" s="10"/>
      <c r="S83" s="9"/>
      <c r="T83" s="9"/>
      <c r="U83" s="15"/>
      <c r="V83" s="11"/>
      <c r="W83" s="5"/>
      <c r="X83" s="9"/>
      <c r="Y83" s="10"/>
      <c r="Z83" s="9"/>
      <c r="AA83" s="13"/>
      <c r="AB83" s="8"/>
      <c r="AC83" s="13"/>
      <c r="AD83" s="9"/>
      <c r="AE83" s="9"/>
      <c r="AF83" s="9"/>
      <c r="AG83" s="13"/>
      <c r="AH83" s="15"/>
      <c r="AI83" s="11"/>
      <c r="AJ83" s="5"/>
      <c r="AK83" s="9"/>
      <c r="AL83" s="10"/>
      <c r="AM83" s="9"/>
      <c r="AN83" s="13"/>
      <c r="AO83" s="11"/>
      <c r="AP83" s="5"/>
      <c r="AQ83" s="9"/>
      <c r="AR83" s="10"/>
      <c r="AS83" s="9"/>
      <c r="AT83" s="13"/>
      <c r="AU83" s="17"/>
    </row>
    <row r="84" spans="1:47" x14ac:dyDescent="0.25">
      <c r="A84" s="1"/>
      <c r="B84" s="1"/>
      <c r="C84" s="5"/>
      <c r="D84" s="5"/>
      <c r="E84" s="5"/>
      <c r="F84" s="4"/>
      <c r="G84" s="26"/>
      <c r="H84" s="24"/>
      <c r="I84" s="11"/>
      <c r="J84" s="4"/>
      <c r="K84" s="9"/>
      <c r="L84" s="10"/>
      <c r="M84" s="9"/>
      <c r="N84" s="12"/>
      <c r="O84" s="8"/>
      <c r="P84" s="5"/>
      <c r="Q84" s="6"/>
      <c r="R84" s="7"/>
      <c r="S84" s="6"/>
      <c r="T84" s="12"/>
      <c r="U84" s="15"/>
      <c r="V84" s="11"/>
      <c r="W84" s="5"/>
      <c r="X84" s="9"/>
      <c r="Y84" s="7"/>
      <c r="Z84" s="9"/>
      <c r="AA84" s="12"/>
      <c r="AB84" s="8"/>
      <c r="AC84" s="12"/>
      <c r="AD84" s="9"/>
      <c r="AE84" s="9"/>
      <c r="AF84" s="9"/>
      <c r="AG84" s="12"/>
      <c r="AH84" s="15"/>
      <c r="AI84" s="8"/>
      <c r="AJ84" s="5"/>
      <c r="AK84" s="9"/>
      <c r="AL84" s="7"/>
      <c r="AM84" s="9"/>
      <c r="AN84" s="12"/>
      <c r="AO84" s="11"/>
      <c r="AP84" s="5"/>
      <c r="AQ84" s="9"/>
      <c r="AR84" s="7"/>
      <c r="AS84" s="9"/>
      <c r="AT84" s="12"/>
      <c r="AU84" s="17"/>
    </row>
    <row r="85" spans="1:47" x14ac:dyDescent="0.25">
      <c r="A85" s="1"/>
      <c r="B85" s="1"/>
      <c r="C85" s="4"/>
      <c r="D85" s="4"/>
      <c r="E85" s="4"/>
      <c r="F85" s="4"/>
      <c r="G85" s="26"/>
      <c r="H85" s="24"/>
      <c r="I85" s="8"/>
      <c r="J85" s="4"/>
      <c r="K85" s="6"/>
      <c r="L85" s="7"/>
      <c r="M85" s="6"/>
      <c r="N85" s="12"/>
      <c r="O85" s="8"/>
      <c r="P85" s="4"/>
      <c r="Q85" s="6"/>
      <c r="R85" s="7"/>
      <c r="S85" s="6"/>
      <c r="T85" s="12"/>
      <c r="U85" s="15"/>
      <c r="V85" s="8"/>
      <c r="W85" s="5"/>
      <c r="X85" s="6"/>
      <c r="Y85" s="7"/>
      <c r="Z85" s="6"/>
      <c r="AA85" s="12"/>
      <c r="AB85" s="6"/>
      <c r="AC85" s="12"/>
      <c r="AD85" s="6"/>
      <c r="AE85" s="6"/>
      <c r="AF85" s="6"/>
      <c r="AG85" s="12"/>
      <c r="AH85" s="15"/>
      <c r="AI85" s="8"/>
      <c r="AJ85" s="5"/>
      <c r="AK85" s="9"/>
      <c r="AL85" s="7"/>
      <c r="AM85" s="6"/>
      <c r="AN85" s="12"/>
      <c r="AO85" s="8"/>
      <c r="AP85" s="5"/>
      <c r="AQ85" s="9"/>
      <c r="AR85" s="7"/>
      <c r="AS85" s="6"/>
      <c r="AT85" s="12"/>
      <c r="AU85" s="17"/>
    </row>
    <row r="86" spans="1:47" x14ac:dyDescent="0.25">
      <c r="A86" s="1"/>
      <c r="B86" s="1"/>
      <c r="C86" s="5"/>
      <c r="D86" s="5"/>
      <c r="E86" s="5"/>
      <c r="F86" s="4"/>
      <c r="G86" s="26"/>
      <c r="H86" s="24"/>
      <c r="I86" s="8"/>
      <c r="J86" s="4"/>
      <c r="K86" s="6"/>
      <c r="L86" s="7"/>
      <c r="M86" s="6"/>
      <c r="N86" s="12"/>
      <c r="O86" s="8"/>
      <c r="P86" s="4"/>
      <c r="Q86" s="6"/>
      <c r="R86" s="7"/>
      <c r="S86" s="6"/>
      <c r="T86" s="6"/>
      <c r="U86" s="15"/>
      <c r="V86" s="11"/>
      <c r="W86" s="5"/>
      <c r="X86" s="9"/>
      <c r="Y86" s="10"/>
      <c r="Z86" s="9"/>
      <c r="AA86" s="13"/>
      <c r="AB86" s="11"/>
      <c r="AC86" s="13"/>
      <c r="AD86" s="9"/>
      <c r="AE86" s="9"/>
      <c r="AF86" s="9"/>
      <c r="AG86" s="13"/>
      <c r="AH86" s="15"/>
      <c r="AI86" s="11"/>
      <c r="AJ86" s="5"/>
      <c r="AK86" s="9"/>
      <c r="AL86" s="10"/>
      <c r="AM86" s="9"/>
      <c r="AN86" s="13"/>
      <c r="AO86" s="11"/>
      <c r="AP86" s="5"/>
      <c r="AQ86" s="9"/>
      <c r="AR86" s="10"/>
      <c r="AS86" s="9"/>
      <c r="AT86" s="13"/>
      <c r="AU86" s="17"/>
    </row>
    <row r="87" spans="1:47" x14ac:dyDescent="0.25">
      <c r="A87" s="1"/>
      <c r="B87" s="1"/>
      <c r="C87" s="5"/>
      <c r="D87" s="5"/>
      <c r="E87" s="5"/>
      <c r="F87" s="5"/>
      <c r="G87" s="26"/>
      <c r="H87" s="24"/>
      <c r="I87" s="11"/>
      <c r="J87" s="5"/>
      <c r="K87" s="9"/>
      <c r="L87" s="10"/>
      <c r="M87" s="9"/>
      <c r="N87" s="13"/>
      <c r="O87" s="11"/>
      <c r="P87" s="5"/>
      <c r="Q87" s="6"/>
      <c r="R87" s="9"/>
      <c r="S87" s="9"/>
      <c r="T87" s="13"/>
      <c r="U87" s="15"/>
      <c r="V87" s="11"/>
      <c r="W87" s="5"/>
      <c r="X87" s="9"/>
      <c r="Y87" s="10"/>
      <c r="Z87" s="9"/>
      <c r="AA87" s="13"/>
      <c r="AB87" s="11"/>
      <c r="AC87" s="13"/>
      <c r="AD87" s="9"/>
      <c r="AE87" s="9"/>
      <c r="AF87" s="9"/>
      <c r="AG87" s="13"/>
      <c r="AH87" s="15"/>
      <c r="AI87" s="11"/>
      <c r="AJ87" s="5"/>
      <c r="AK87" s="9"/>
      <c r="AL87" s="10"/>
      <c r="AM87" s="9"/>
      <c r="AN87" s="13"/>
      <c r="AO87" s="11"/>
      <c r="AP87" s="5"/>
      <c r="AQ87" s="9"/>
      <c r="AR87" s="10"/>
      <c r="AS87" s="9"/>
      <c r="AT87" s="13"/>
      <c r="AU87" s="17"/>
    </row>
    <row r="88" spans="1:47" x14ac:dyDescent="0.25">
      <c r="A88" s="18"/>
      <c r="B88" s="1"/>
      <c r="C88" s="5"/>
      <c r="D88" s="5"/>
      <c r="E88" s="5"/>
      <c r="F88" s="5"/>
      <c r="G88" s="26"/>
      <c r="H88" s="24"/>
      <c r="I88" s="19"/>
      <c r="J88" s="20"/>
      <c r="K88" s="21"/>
      <c r="L88" s="22"/>
      <c r="M88" s="21"/>
      <c r="N88" s="23"/>
      <c r="O88" s="11"/>
      <c r="P88" s="5"/>
      <c r="Q88" s="6"/>
      <c r="R88" s="10"/>
      <c r="S88" s="9"/>
      <c r="T88" s="9"/>
      <c r="U88" s="15"/>
      <c r="V88" s="8"/>
      <c r="W88" s="5"/>
      <c r="X88" s="9"/>
      <c r="Y88" s="10"/>
      <c r="Z88" s="9"/>
      <c r="AA88" s="13"/>
      <c r="AB88" s="11"/>
      <c r="AC88" s="13"/>
      <c r="AD88" s="9"/>
      <c r="AE88" s="9"/>
      <c r="AF88" s="9"/>
      <c r="AG88" s="13"/>
      <c r="AH88" s="15"/>
      <c r="AI88" s="11"/>
      <c r="AJ88" s="5"/>
      <c r="AK88" s="9"/>
      <c r="AL88" s="10"/>
      <c r="AM88" s="9"/>
      <c r="AN88" s="13"/>
      <c r="AO88" s="11"/>
      <c r="AP88" s="5"/>
      <c r="AQ88" s="9"/>
      <c r="AR88" s="10"/>
      <c r="AS88" s="9"/>
      <c r="AT88" s="13"/>
      <c r="AU88" s="17"/>
    </row>
    <row r="89" spans="1:47" x14ac:dyDescent="0.25">
      <c r="A89" s="1"/>
      <c r="B89" s="1"/>
      <c r="C89" s="5"/>
      <c r="D89" s="5"/>
      <c r="E89" s="5"/>
      <c r="F89" s="5"/>
      <c r="G89" s="26"/>
      <c r="H89" s="24"/>
      <c r="I89" s="11"/>
      <c r="J89" s="5"/>
      <c r="K89" s="9"/>
      <c r="L89" s="10"/>
      <c r="M89" s="9"/>
      <c r="N89" s="13"/>
      <c r="O89" s="11"/>
      <c r="P89" s="5"/>
      <c r="Q89" s="6"/>
      <c r="R89" s="9"/>
      <c r="S89" s="9"/>
      <c r="T89" s="13"/>
      <c r="U89" s="15"/>
      <c r="V89" s="11"/>
      <c r="W89" s="5"/>
      <c r="X89" s="9"/>
      <c r="Y89" s="10"/>
      <c r="Z89" s="9"/>
      <c r="AA89" s="13"/>
      <c r="AB89" s="11"/>
      <c r="AC89" s="13"/>
      <c r="AD89" s="9"/>
      <c r="AE89" s="9"/>
      <c r="AF89" s="9"/>
      <c r="AG89" s="13"/>
      <c r="AH89" s="15"/>
      <c r="AI89" s="11"/>
      <c r="AJ89" s="5"/>
      <c r="AK89" s="9"/>
      <c r="AL89" s="10"/>
      <c r="AM89" s="9"/>
      <c r="AN89" s="13"/>
      <c r="AO89" s="11"/>
      <c r="AP89" s="5"/>
      <c r="AQ89" s="9"/>
      <c r="AR89" s="10"/>
      <c r="AS89" s="9"/>
      <c r="AT89" s="13"/>
      <c r="AU89" s="17"/>
    </row>
    <row r="90" spans="1:47" x14ac:dyDescent="0.25">
      <c r="A90" s="1"/>
      <c r="B90" s="1"/>
      <c r="C90" s="4"/>
      <c r="D90" s="4"/>
      <c r="E90" s="4"/>
      <c r="F90" s="4"/>
      <c r="G90" s="26"/>
      <c r="H90" s="24"/>
      <c r="I90" s="8"/>
      <c r="J90" s="4"/>
      <c r="K90" s="6"/>
      <c r="L90" s="7"/>
      <c r="M90" s="6"/>
      <c r="N90" s="12"/>
      <c r="O90" s="8"/>
      <c r="P90" s="4"/>
      <c r="Q90" s="6"/>
      <c r="R90" s="7"/>
      <c r="S90" s="6"/>
      <c r="T90" s="12"/>
      <c r="U90" s="15"/>
      <c r="V90" s="8"/>
      <c r="W90" s="5"/>
      <c r="X90" s="6"/>
      <c r="Y90" s="7"/>
      <c r="Z90" s="6"/>
      <c r="AA90" s="12"/>
      <c r="AB90" s="6"/>
      <c r="AC90" s="12"/>
      <c r="AD90" s="6"/>
      <c r="AE90" s="6"/>
      <c r="AF90" s="6"/>
      <c r="AG90" s="12"/>
      <c r="AH90" s="15"/>
      <c r="AI90" s="8"/>
      <c r="AJ90" s="5"/>
      <c r="AK90" s="9"/>
      <c r="AL90" s="7"/>
      <c r="AM90" s="6"/>
      <c r="AN90" s="12"/>
      <c r="AO90" s="8"/>
      <c r="AP90" s="5"/>
      <c r="AQ90" s="9"/>
      <c r="AR90" s="7"/>
      <c r="AS90" s="6"/>
      <c r="AT90" s="12"/>
      <c r="AU90" s="17"/>
    </row>
    <row r="91" spans="1:47" x14ac:dyDescent="0.25">
      <c r="A91" s="1"/>
      <c r="B91" s="1"/>
      <c r="C91" s="5"/>
      <c r="D91" s="5"/>
      <c r="E91" s="5"/>
      <c r="F91" s="5"/>
      <c r="G91" s="26"/>
      <c r="H91" s="24"/>
      <c r="I91" s="19"/>
      <c r="J91" s="20"/>
      <c r="K91" s="21"/>
      <c r="L91" s="22"/>
      <c r="M91" s="21"/>
      <c r="N91" s="23"/>
      <c r="O91" s="11"/>
      <c r="P91" s="5"/>
      <c r="Q91" s="6"/>
      <c r="R91" s="10"/>
      <c r="S91" s="9"/>
      <c r="T91" s="9"/>
      <c r="U91" s="15"/>
      <c r="V91" s="11"/>
      <c r="W91" s="5"/>
      <c r="X91" s="9"/>
      <c r="Y91" s="10"/>
      <c r="Z91" s="9"/>
      <c r="AA91" s="13"/>
      <c r="AB91" s="11"/>
      <c r="AC91" s="13"/>
      <c r="AD91" s="9"/>
      <c r="AE91" s="9"/>
      <c r="AF91" s="9"/>
      <c r="AG91" s="13"/>
      <c r="AH91" s="15"/>
      <c r="AI91" s="11"/>
      <c r="AJ91" s="5"/>
      <c r="AK91" s="9"/>
      <c r="AL91" s="10"/>
      <c r="AM91" s="9"/>
      <c r="AN91" s="13"/>
      <c r="AO91" s="11"/>
      <c r="AP91" s="5"/>
      <c r="AQ91" s="9"/>
      <c r="AR91" s="10"/>
      <c r="AS91" s="9"/>
      <c r="AT91" s="13"/>
      <c r="AU91" s="17"/>
    </row>
    <row r="92" spans="1:47" x14ac:dyDescent="0.25">
      <c r="A92" s="1"/>
      <c r="B92" s="1"/>
      <c r="C92" s="5"/>
      <c r="D92" s="5"/>
      <c r="E92" s="5"/>
      <c r="F92" s="4"/>
      <c r="G92" s="26"/>
      <c r="H92" s="24"/>
      <c r="I92" s="19"/>
      <c r="J92" s="20"/>
      <c r="K92" s="21"/>
      <c r="L92" s="22"/>
      <c r="M92" s="21"/>
      <c r="N92" s="23"/>
      <c r="O92" s="11"/>
      <c r="P92" s="5"/>
      <c r="Q92" s="6"/>
      <c r="R92" s="10"/>
      <c r="S92" s="9"/>
      <c r="T92" s="9"/>
      <c r="U92" s="15"/>
      <c r="V92" s="11"/>
      <c r="W92" s="5"/>
      <c r="X92" s="9"/>
      <c r="Y92" s="10"/>
      <c r="Z92" s="9"/>
      <c r="AA92" s="13"/>
      <c r="AB92" s="11"/>
      <c r="AC92" s="13"/>
      <c r="AD92" s="9"/>
      <c r="AE92" s="9"/>
      <c r="AF92" s="9"/>
      <c r="AG92" s="13"/>
      <c r="AH92" s="15"/>
      <c r="AI92" s="11"/>
      <c r="AJ92" s="5"/>
      <c r="AK92" s="9"/>
      <c r="AL92" s="10"/>
      <c r="AM92" s="9"/>
      <c r="AN92" s="13"/>
      <c r="AO92" s="11"/>
      <c r="AP92" s="5"/>
      <c r="AQ92" s="9"/>
      <c r="AR92" s="10"/>
      <c r="AS92" s="9"/>
      <c r="AT92" s="13"/>
      <c r="AU92" s="17"/>
    </row>
    <row r="93" spans="1:47" x14ac:dyDescent="0.25">
      <c r="A93" s="1"/>
      <c r="B93" s="1"/>
      <c r="C93" s="5"/>
      <c r="D93" s="5"/>
      <c r="E93" s="5"/>
      <c r="F93" s="5"/>
      <c r="G93" s="26"/>
      <c r="H93" s="24"/>
      <c r="I93" s="11"/>
      <c r="J93" s="5"/>
      <c r="K93" s="9"/>
      <c r="L93" s="10"/>
      <c r="M93" s="9"/>
      <c r="N93" s="13"/>
      <c r="O93" s="11"/>
      <c r="P93" s="5"/>
      <c r="Q93" s="6"/>
      <c r="R93" s="9"/>
      <c r="S93" s="9"/>
      <c r="T93" s="13"/>
      <c r="U93" s="15"/>
      <c r="V93" s="11"/>
      <c r="W93" s="5"/>
      <c r="X93" s="9"/>
      <c r="Y93" s="10"/>
      <c r="Z93" s="9"/>
      <c r="AA93" s="13"/>
      <c r="AB93" s="11"/>
      <c r="AC93" s="13"/>
      <c r="AD93" s="9"/>
      <c r="AE93" s="9"/>
      <c r="AF93" s="9"/>
      <c r="AG93" s="13"/>
      <c r="AH93" s="15"/>
      <c r="AI93" s="11"/>
      <c r="AJ93" s="5"/>
      <c r="AK93" s="9"/>
      <c r="AL93" s="10"/>
      <c r="AM93" s="9"/>
      <c r="AN93" s="13"/>
      <c r="AO93" s="11"/>
      <c r="AP93" s="5"/>
      <c r="AQ93" s="9"/>
      <c r="AR93" s="10"/>
      <c r="AS93" s="9"/>
      <c r="AT93" s="13"/>
      <c r="AU93" s="17"/>
    </row>
    <row r="94" spans="1:47" x14ac:dyDescent="0.25">
      <c r="A94" s="1"/>
      <c r="B94" s="1"/>
      <c r="C94" s="5"/>
      <c r="D94" s="5"/>
      <c r="E94" s="5"/>
      <c r="F94" s="5"/>
      <c r="G94" s="26"/>
      <c r="H94" s="24"/>
      <c r="I94" s="19"/>
      <c r="J94" s="20"/>
      <c r="K94" s="21"/>
      <c r="L94" s="22"/>
      <c r="M94" s="21"/>
      <c r="N94" s="23"/>
      <c r="O94" s="11"/>
      <c r="P94" s="5"/>
      <c r="Q94" s="6"/>
      <c r="R94" s="10"/>
      <c r="S94" s="9"/>
      <c r="T94" s="13"/>
      <c r="U94" s="15"/>
      <c r="V94" s="11"/>
      <c r="W94" s="5"/>
      <c r="X94" s="9"/>
      <c r="Y94" s="10"/>
      <c r="Z94" s="9"/>
      <c r="AA94" s="13"/>
      <c r="AB94" s="11"/>
      <c r="AC94" s="13"/>
      <c r="AD94" s="9"/>
      <c r="AE94" s="9"/>
      <c r="AF94" s="9"/>
      <c r="AG94" s="13"/>
      <c r="AH94" s="15"/>
      <c r="AI94" s="11"/>
      <c r="AJ94" s="5"/>
      <c r="AK94" s="9"/>
      <c r="AL94" s="10"/>
      <c r="AM94" s="9"/>
      <c r="AN94" s="13"/>
      <c r="AO94" s="11"/>
      <c r="AP94" s="5"/>
      <c r="AQ94" s="9"/>
      <c r="AR94" s="10"/>
      <c r="AS94" s="9"/>
      <c r="AT94" s="13"/>
      <c r="AU94" s="17"/>
    </row>
    <row r="95" spans="1:47" x14ac:dyDescent="0.25">
      <c r="A95" s="1"/>
      <c r="B95" s="1"/>
      <c r="C95" s="4"/>
      <c r="D95" s="4"/>
      <c r="E95" s="4"/>
      <c r="F95" s="4"/>
      <c r="G95" s="26"/>
      <c r="H95" s="24"/>
      <c r="I95" s="8"/>
      <c r="J95" s="4"/>
      <c r="K95" s="6"/>
      <c r="L95" s="7"/>
      <c r="M95" s="6"/>
      <c r="N95" s="12"/>
      <c r="O95" s="8"/>
      <c r="P95" s="4"/>
      <c r="Q95" s="6"/>
      <c r="R95" s="7"/>
      <c r="S95" s="6"/>
      <c r="T95" s="12"/>
      <c r="U95" s="15"/>
      <c r="V95" s="8"/>
      <c r="W95" s="5"/>
      <c r="X95" s="6"/>
      <c r="Y95" s="7"/>
      <c r="Z95" s="6"/>
      <c r="AA95" s="12"/>
      <c r="AB95" s="8"/>
      <c r="AC95" s="12"/>
      <c r="AD95" s="6"/>
      <c r="AE95" s="6"/>
      <c r="AF95" s="6"/>
      <c r="AG95" s="12"/>
      <c r="AH95" s="15"/>
      <c r="AI95" s="8"/>
      <c r="AJ95" s="5"/>
      <c r="AK95" s="9"/>
      <c r="AL95" s="7"/>
      <c r="AM95" s="6"/>
      <c r="AN95" s="12"/>
      <c r="AO95" s="8"/>
      <c r="AP95" s="5"/>
      <c r="AQ95" s="9"/>
      <c r="AR95" s="7"/>
      <c r="AS95" s="6"/>
      <c r="AT95" s="12"/>
      <c r="AU95" s="17"/>
    </row>
    <row r="96" spans="1:47" x14ac:dyDescent="0.25">
      <c r="A96" s="1"/>
      <c r="B96" s="1"/>
      <c r="C96" s="4"/>
      <c r="D96" s="4"/>
      <c r="E96" s="4"/>
      <c r="F96" s="4"/>
      <c r="G96" s="26"/>
      <c r="H96" s="24"/>
      <c r="I96" s="8"/>
      <c r="J96" s="4"/>
      <c r="K96" s="6"/>
      <c r="L96" s="7"/>
      <c r="M96" s="6"/>
      <c r="N96" s="12"/>
      <c r="O96" s="8"/>
      <c r="P96" s="4"/>
      <c r="Q96" s="6"/>
      <c r="R96" s="7"/>
      <c r="S96" s="6"/>
      <c r="T96" s="12"/>
      <c r="U96" s="15"/>
      <c r="V96" s="8"/>
      <c r="W96" s="5"/>
      <c r="X96" s="6"/>
      <c r="Y96" s="7"/>
      <c r="Z96" s="6"/>
      <c r="AA96" s="12"/>
      <c r="AB96" s="8"/>
      <c r="AC96" s="12"/>
      <c r="AD96" s="6"/>
      <c r="AE96" s="6"/>
      <c r="AF96" s="6"/>
      <c r="AG96" s="12"/>
      <c r="AH96" s="15"/>
      <c r="AI96" s="8"/>
      <c r="AJ96" s="5"/>
      <c r="AK96" s="9"/>
      <c r="AL96" s="7"/>
      <c r="AM96" s="6"/>
      <c r="AN96" s="12"/>
      <c r="AO96" s="8"/>
      <c r="AP96" s="5"/>
      <c r="AQ96" s="9"/>
      <c r="AR96" s="7"/>
      <c r="AS96" s="6"/>
      <c r="AT96" s="12"/>
      <c r="AU96" s="17"/>
    </row>
    <row r="97" spans="1:47" x14ac:dyDescent="0.25">
      <c r="A97" s="1"/>
      <c r="B97" s="1"/>
      <c r="C97" s="4"/>
      <c r="D97" s="4"/>
      <c r="E97" s="4"/>
      <c r="F97" s="4"/>
      <c r="G97" s="26"/>
      <c r="H97" s="24"/>
      <c r="I97" s="8"/>
      <c r="J97" s="4"/>
      <c r="K97" s="6"/>
      <c r="L97" s="7"/>
      <c r="M97" s="6"/>
      <c r="N97" s="12"/>
      <c r="O97" s="8"/>
      <c r="P97" s="4"/>
      <c r="Q97" s="6"/>
      <c r="R97" s="7"/>
      <c r="S97" s="6"/>
      <c r="T97" s="12"/>
      <c r="U97" s="15"/>
      <c r="V97" s="8"/>
      <c r="W97" s="5"/>
      <c r="X97" s="6"/>
      <c r="Y97" s="7"/>
      <c r="Z97" s="6"/>
      <c r="AA97" s="12"/>
      <c r="AB97" s="8"/>
      <c r="AC97" s="12"/>
      <c r="AD97" s="6"/>
      <c r="AE97" s="6"/>
      <c r="AF97" s="6"/>
      <c r="AG97" s="12"/>
      <c r="AH97" s="15"/>
      <c r="AI97" s="8"/>
      <c r="AJ97" s="5"/>
      <c r="AK97" s="9"/>
      <c r="AL97" s="7"/>
      <c r="AM97" s="6"/>
      <c r="AN97" s="12"/>
      <c r="AO97" s="8"/>
      <c r="AP97" s="5"/>
      <c r="AQ97" s="9"/>
      <c r="AR97" s="7"/>
      <c r="AS97" s="6"/>
      <c r="AT97" s="12"/>
      <c r="AU97" s="17"/>
    </row>
    <row r="98" spans="1:47" x14ac:dyDescent="0.25">
      <c r="A98" s="1"/>
      <c r="B98" s="1"/>
      <c r="C98" s="5"/>
      <c r="D98" s="5"/>
      <c r="E98" s="5"/>
      <c r="F98" s="5"/>
      <c r="G98" s="26"/>
      <c r="H98" s="24"/>
      <c r="I98" s="11"/>
      <c r="J98" s="5"/>
      <c r="K98" s="9"/>
      <c r="L98" s="10"/>
      <c r="M98" s="9"/>
      <c r="N98" s="13"/>
      <c r="O98" s="11"/>
      <c r="P98" s="5"/>
      <c r="Q98" s="6"/>
      <c r="R98" s="7"/>
      <c r="S98" s="9"/>
      <c r="T98" s="12"/>
      <c r="U98" s="15"/>
      <c r="V98" s="11"/>
      <c r="W98" s="5"/>
      <c r="X98" s="9"/>
      <c r="Y98" s="10"/>
      <c r="Z98" s="9"/>
      <c r="AA98" s="13"/>
      <c r="AB98" s="11"/>
      <c r="AC98" s="13"/>
      <c r="AD98" s="9"/>
      <c r="AE98" s="9"/>
      <c r="AF98" s="9"/>
      <c r="AG98" s="13"/>
      <c r="AH98" s="15"/>
      <c r="AI98" s="11"/>
      <c r="AJ98" s="5"/>
      <c r="AK98" s="9"/>
      <c r="AL98" s="10"/>
      <c r="AM98" s="9"/>
      <c r="AN98" s="13"/>
      <c r="AO98" s="11"/>
      <c r="AP98" s="5"/>
      <c r="AQ98" s="9"/>
      <c r="AR98" s="10"/>
      <c r="AS98" s="9"/>
      <c r="AT98" s="13"/>
      <c r="AU98" s="17"/>
    </row>
    <row r="99" spans="1:47" x14ac:dyDescent="0.25">
      <c r="A99" s="1"/>
      <c r="B99" s="1"/>
      <c r="C99" s="5"/>
      <c r="D99" s="5"/>
      <c r="E99" s="5"/>
      <c r="F99" s="5"/>
      <c r="G99" s="26"/>
      <c r="H99" s="24"/>
      <c r="I99" s="11"/>
      <c r="J99" s="5"/>
      <c r="K99" s="9"/>
      <c r="L99" s="10"/>
      <c r="M99" s="9"/>
      <c r="N99" s="13"/>
      <c r="O99" s="11"/>
      <c r="P99" s="5"/>
      <c r="Q99" s="6"/>
      <c r="R99" s="7"/>
      <c r="S99" s="9"/>
      <c r="T99" s="12"/>
      <c r="U99" s="15"/>
      <c r="V99" s="11"/>
      <c r="W99" s="5"/>
      <c r="X99" s="9"/>
      <c r="Y99" s="10"/>
      <c r="Z99" s="9"/>
      <c r="AA99" s="13"/>
      <c r="AB99" s="11"/>
      <c r="AC99" s="13"/>
      <c r="AD99" s="9"/>
      <c r="AE99" s="9"/>
      <c r="AF99" s="9"/>
      <c r="AG99" s="13"/>
      <c r="AH99" s="15"/>
      <c r="AI99" s="11"/>
      <c r="AJ99" s="5"/>
      <c r="AK99" s="9"/>
      <c r="AL99" s="10"/>
      <c r="AM99" s="9"/>
      <c r="AN99" s="13"/>
      <c r="AO99" s="11"/>
      <c r="AP99" s="5"/>
      <c r="AQ99" s="9"/>
      <c r="AR99" s="10"/>
      <c r="AS99" s="9"/>
      <c r="AT99" s="13"/>
      <c r="AU99" s="17"/>
    </row>
    <row r="100" spans="1:47" x14ac:dyDescent="0.25">
      <c r="A100" s="1"/>
      <c r="B100" s="1"/>
      <c r="C100" s="5"/>
      <c r="D100" s="5"/>
      <c r="E100" s="5"/>
      <c r="F100" s="5"/>
      <c r="G100" s="26"/>
      <c r="H100" s="24"/>
      <c r="I100" s="19"/>
      <c r="J100" s="20"/>
      <c r="K100" s="21"/>
      <c r="L100" s="22"/>
      <c r="M100" s="21"/>
      <c r="N100" s="23"/>
      <c r="O100" s="11"/>
      <c r="P100" s="5"/>
      <c r="Q100" s="6"/>
      <c r="R100" s="10"/>
      <c r="S100" s="9"/>
      <c r="T100" s="13"/>
      <c r="U100" s="15"/>
      <c r="V100" s="11"/>
      <c r="W100" s="5"/>
      <c r="X100" s="9"/>
      <c r="Y100" s="10"/>
      <c r="Z100" s="9"/>
      <c r="AA100" s="13"/>
      <c r="AB100" s="11"/>
      <c r="AC100" s="13"/>
      <c r="AD100" s="9"/>
      <c r="AE100" s="9"/>
      <c r="AF100" s="9"/>
      <c r="AG100" s="13"/>
      <c r="AH100" s="15"/>
      <c r="AI100" s="11"/>
      <c r="AJ100" s="5"/>
      <c r="AK100" s="9"/>
      <c r="AL100" s="10"/>
      <c r="AM100" s="9"/>
      <c r="AN100" s="13"/>
      <c r="AO100" s="11"/>
      <c r="AP100" s="5"/>
      <c r="AQ100" s="9"/>
      <c r="AR100" s="10"/>
      <c r="AS100" s="9"/>
      <c r="AT100" s="13"/>
      <c r="AU100" s="17"/>
    </row>
    <row r="101" spans="1:47" x14ac:dyDescent="0.25">
      <c r="A101" s="1"/>
      <c r="B101" s="1"/>
      <c r="C101" s="4"/>
      <c r="D101" s="4"/>
      <c r="E101" s="4"/>
      <c r="F101" s="4"/>
      <c r="G101" s="26"/>
      <c r="H101" s="24"/>
      <c r="I101" s="8"/>
      <c r="J101" s="4"/>
      <c r="K101" s="6"/>
      <c r="L101" s="7"/>
      <c r="M101" s="6"/>
      <c r="N101" s="12"/>
      <c r="O101" s="8"/>
      <c r="P101" s="4"/>
      <c r="Q101" s="6"/>
      <c r="R101" s="7"/>
      <c r="S101" s="6"/>
      <c r="T101" s="12"/>
      <c r="U101" s="15"/>
      <c r="V101" s="8"/>
      <c r="W101" s="5"/>
      <c r="X101" s="6"/>
      <c r="Y101" s="7"/>
      <c r="Z101" s="6"/>
      <c r="AA101" s="12"/>
      <c r="AB101" s="6"/>
      <c r="AC101" s="12"/>
      <c r="AD101" s="6"/>
      <c r="AE101" s="6"/>
      <c r="AF101" s="6"/>
      <c r="AG101" s="12"/>
      <c r="AH101" s="15"/>
      <c r="AI101" s="8"/>
      <c r="AJ101" s="5"/>
      <c r="AK101" s="9"/>
      <c r="AL101" s="7"/>
      <c r="AM101" s="6"/>
      <c r="AN101" s="12"/>
      <c r="AO101" s="8"/>
      <c r="AP101" s="5"/>
      <c r="AQ101" s="9"/>
      <c r="AR101" s="7"/>
      <c r="AS101" s="6"/>
      <c r="AT101" s="12"/>
      <c r="AU101" s="17"/>
    </row>
    <row r="102" spans="1:47" x14ac:dyDescent="0.25">
      <c r="A102" s="1"/>
      <c r="B102" s="1"/>
      <c r="C102" s="4"/>
      <c r="D102" s="4"/>
      <c r="E102" s="4"/>
      <c r="F102" s="4"/>
      <c r="G102" s="26"/>
      <c r="H102" s="24"/>
      <c r="I102" s="8"/>
      <c r="J102" s="4"/>
      <c r="K102" s="6"/>
      <c r="L102" s="7"/>
      <c r="M102" s="6"/>
      <c r="N102" s="12"/>
      <c r="O102" s="8"/>
      <c r="P102" s="4"/>
      <c r="Q102" s="6"/>
      <c r="R102" s="7"/>
      <c r="S102" s="6"/>
      <c r="T102" s="12"/>
      <c r="U102" s="15"/>
      <c r="V102" s="8"/>
      <c r="W102" s="5"/>
      <c r="X102" s="6"/>
      <c r="Y102" s="7"/>
      <c r="Z102" s="6"/>
      <c r="AA102" s="12"/>
      <c r="AB102" s="8"/>
      <c r="AC102" s="12"/>
      <c r="AD102" s="6"/>
      <c r="AE102" s="6"/>
      <c r="AF102" s="6"/>
      <c r="AG102" s="12"/>
      <c r="AH102" s="15"/>
      <c r="AI102" s="8"/>
      <c r="AJ102" s="5"/>
      <c r="AK102" s="9"/>
      <c r="AL102" s="7"/>
      <c r="AM102" s="6"/>
      <c r="AN102" s="12"/>
      <c r="AO102" s="8"/>
      <c r="AP102" s="5"/>
      <c r="AQ102" s="9"/>
      <c r="AR102" s="7"/>
      <c r="AS102" s="6"/>
      <c r="AT102" s="12"/>
      <c r="AU102" s="17"/>
    </row>
    <row r="103" spans="1:47" x14ac:dyDescent="0.25">
      <c r="A103" s="18"/>
      <c r="B103" s="1"/>
      <c r="C103" s="5"/>
      <c r="D103" s="5"/>
      <c r="E103" s="5"/>
      <c r="F103" s="4"/>
      <c r="G103" s="26"/>
      <c r="H103" s="24"/>
      <c r="I103" s="19"/>
      <c r="J103" s="20"/>
      <c r="K103" s="21"/>
      <c r="L103" s="22"/>
      <c r="M103" s="21"/>
      <c r="N103" s="23"/>
      <c r="O103" s="11"/>
      <c r="P103" s="5"/>
      <c r="Q103" s="6"/>
      <c r="R103" s="10"/>
      <c r="S103" s="9"/>
      <c r="T103" s="13"/>
      <c r="U103" s="15"/>
      <c r="V103" s="11"/>
      <c r="W103" s="5"/>
      <c r="X103" s="9"/>
      <c r="Y103" s="10"/>
      <c r="Z103" s="9"/>
      <c r="AA103" s="13"/>
      <c r="AB103" s="11"/>
      <c r="AC103" s="13"/>
      <c r="AD103" s="9"/>
      <c r="AE103" s="9"/>
      <c r="AF103" s="9"/>
      <c r="AG103" s="13"/>
      <c r="AH103" s="15"/>
      <c r="AI103" s="11"/>
      <c r="AJ103" s="5"/>
      <c r="AK103" s="9"/>
      <c r="AL103" s="10"/>
      <c r="AM103" s="9"/>
      <c r="AN103" s="13"/>
      <c r="AO103" s="11"/>
      <c r="AP103" s="5"/>
      <c r="AQ103" s="9"/>
      <c r="AR103" s="10"/>
      <c r="AS103" s="9"/>
      <c r="AT103" s="13"/>
      <c r="AU103" s="17"/>
    </row>
    <row r="104" spans="1:47" x14ac:dyDescent="0.25">
      <c r="A104" s="1"/>
      <c r="B104" s="1"/>
      <c r="C104" s="5"/>
      <c r="D104" s="5"/>
      <c r="E104" s="5"/>
      <c r="F104" s="4"/>
      <c r="G104" s="26"/>
      <c r="H104" s="24"/>
      <c r="I104" s="11"/>
      <c r="J104" s="4"/>
      <c r="K104" s="9"/>
      <c r="L104" s="10"/>
      <c r="M104" s="9"/>
      <c r="N104" s="12"/>
      <c r="O104" s="8"/>
      <c r="P104" s="5"/>
      <c r="Q104" s="6"/>
      <c r="R104" s="7"/>
      <c r="S104" s="6"/>
      <c r="T104" s="12"/>
      <c r="U104" s="15"/>
      <c r="V104" s="11"/>
      <c r="W104" s="5"/>
      <c r="X104" s="9"/>
      <c r="Y104" s="7"/>
      <c r="Z104" s="9"/>
      <c r="AA104" s="12"/>
      <c r="AB104" s="11"/>
      <c r="AC104" s="12"/>
      <c r="AD104" s="9"/>
      <c r="AE104" s="9"/>
      <c r="AF104" s="9"/>
      <c r="AG104" s="12"/>
      <c r="AH104" s="15"/>
      <c r="AI104" s="8"/>
      <c r="AJ104" s="5"/>
      <c r="AK104" s="9"/>
      <c r="AL104" s="7"/>
      <c r="AM104" s="9"/>
      <c r="AN104" s="12"/>
      <c r="AO104" s="11"/>
      <c r="AP104" s="5"/>
      <c r="AQ104" s="9"/>
      <c r="AR104" s="7"/>
      <c r="AS104" s="9"/>
      <c r="AT104" s="12"/>
      <c r="AU104" s="17"/>
    </row>
    <row r="105" spans="1:47" x14ac:dyDescent="0.25">
      <c r="A105" s="1"/>
      <c r="B105" s="1"/>
      <c r="C105" s="5"/>
      <c r="D105" s="5"/>
      <c r="E105" s="5"/>
      <c r="F105" s="4"/>
      <c r="G105" s="26"/>
      <c r="H105" s="24"/>
      <c r="I105" s="11"/>
      <c r="J105" s="4"/>
      <c r="K105" s="9"/>
      <c r="L105" s="10"/>
      <c r="M105" s="9"/>
      <c r="N105" s="12"/>
      <c r="O105" s="8"/>
      <c r="P105" s="5"/>
      <c r="Q105" s="6"/>
      <c r="R105" s="7"/>
      <c r="S105" s="6"/>
      <c r="T105" s="12"/>
      <c r="U105" s="15"/>
      <c r="V105" s="11"/>
      <c r="W105" s="5"/>
      <c r="X105" s="9"/>
      <c r="Y105" s="7"/>
      <c r="Z105" s="9"/>
      <c r="AA105" s="12"/>
      <c r="AB105" s="11"/>
      <c r="AC105" s="12"/>
      <c r="AD105" s="9"/>
      <c r="AE105" s="9"/>
      <c r="AF105" s="9"/>
      <c r="AG105" s="12"/>
      <c r="AH105" s="15"/>
      <c r="AI105" s="11"/>
      <c r="AJ105" s="5"/>
      <c r="AK105" s="9"/>
      <c r="AL105" s="7"/>
      <c r="AM105" s="9"/>
      <c r="AN105" s="12"/>
      <c r="AO105" s="11"/>
      <c r="AP105" s="5"/>
      <c r="AQ105" s="9"/>
      <c r="AR105" s="7"/>
      <c r="AS105" s="9"/>
      <c r="AT105" s="12"/>
      <c r="AU105" s="17"/>
    </row>
    <row r="106" spans="1:47" x14ac:dyDescent="0.25">
      <c r="A106" s="1"/>
      <c r="B106" s="1"/>
      <c r="C106" s="4"/>
      <c r="D106" s="4"/>
      <c r="E106" s="4"/>
      <c r="F106" s="4"/>
      <c r="G106" s="26"/>
      <c r="H106" s="24"/>
      <c r="I106" s="8"/>
      <c r="J106" s="4"/>
      <c r="K106" s="6"/>
      <c r="L106" s="7"/>
      <c r="M106" s="6"/>
      <c r="N106" s="12"/>
      <c r="O106" s="8"/>
      <c r="P106" s="4"/>
      <c r="Q106" s="6"/>
      <c r="R106" s="7"/>
      <c r="S106" s="6"/>
      <c r="T106" s="12"/>
      <c r="U106" s="15"/>
      <c r="V106" s="8"/>
      <c r="W106" s="5"/>
      <c r="X106" s="6"/>
      <c r="Y106" s="7"/>
      <c r="Z106" s="6"/>
      <c r="AA106" s="12"/>
      <c r="AB106" s="6"/>
      <c r="AC106" s="12"/>
      <c r="AD106" s="6"/>
      <c r="AE106" s="6"/>
      <c r="AF106" s="6"/>
      <c r="AG106" s="12"/>
      <c r="AH106" s="15"/>
      <c r="AI106" s="8"/>
      <c r="AJ106" s="5"/>
      <c r="AK106" s="9"/>
      <c r="AL106" s="7"/>
      <c r="AM106" s="6"/>
      <c r="AN106" s="12"/>
      <c r="AO106" s="8"/>
      <c r="AP106" s="5"/>
      <c r="AQ106" s="9"/>
      <c r="AR106" s="7"/>
      <c r="AS106" s="6"/>
      <c r="AT106" s="12"/>
      <c r="AU106" s="17"/>
    </row>
    <row r="107" spans="1:47" x14ac:dyDescent="0.25">
      <c r="A107" s="1"/>
      <c r="B107" s="1"/>
      <c r="C107" s="4"/>
      <c r="D107" s="4"/>
      <c r="E107" s="4"/>
      <c r="F107" s="4"/>
      <c r="G107" s="26"/>
      <c r="H107" s="24"/>
      <c r="I107" s="8"/>
      <c r="J107" s="4"/>
      <c r="K107" s="6"/>
      <c r="L107" s="7"/>
      <c r="M107" s="6"/>
      <c r="N107" s="12"/>
      <c r="O107" s="8"/>
      <c r="P107" s="4"/>
      <c r="Q107" s="6"/>
      <c r="R107" s="7"/>
      <c r="S107" s="6"/>
      <c r="T107" s="12"/>
      <c r="U107" s="15"/>
      <c r="V107" s="8"/>
      <c r="W107" s="5"/>
      <c r="X107" s="6"/>
      <c r="Y107" s="7"/>
      <c r="Z107" s="6"/>
      <c r="AA107" s="12"/>
      <c r="AB107" s="11"/>
      <c r="AC107" s="12"/>
      <c r="AD107" s="6"/>
      <c r="AE107" s="6"/>
      <c r="AF107" s="6"/>
      <c r="AG107" s="12"/>
      <c r="AH107" s="15"/>
      <c r="AI107" s="8"/>
      <c r="AJ107" s="5"/>
      <c r="AK107" s="9"/>
      <c r="AL107" s="7"/>
      <c r="AM107" s="6"/>
      <c r="AN107" s="12"/>
      <c r="AO107" s="8"/>
      <c r="AP107" s="5"/>
      <c r="AQ107" s="9"/>
      <c r="AR107" s="7"/>
      <c r="AS107" s="6"/>
      <c r="AT107" s="12"/>
      <c r="AU107" s="17"/>
    </row>
    <row r="108" spans="1:47" x14ac:dyDescent="0.25">
      <c r="A108" s="1"/>
      <c r="B108" s="1"/>
      <c r="C108" s="5"/>
      <c r="D108" s="5"/>
      <c r="E108" s="5"/>
      <c r="F108" s="5"/>
      <c r="G108" s="26"/>
      <c r="H108" s="24"/>
      <c r="I108" s="19"/>
      <c r="J108" s="20"/>
      <c r="K108" s="21"/>
      <c r="L108" s="22"/>
      <c r="M108" s="21"/>
      <c r="N108" s="23"/>
      <c r="O108" s="5"/>
      <c r="P108" s="5"/>
      <c r="Q108" s="6"/>
      <c r="R108" s="10"/>
      <c r="S108" s="9"/>
      <c r="T108" s="9"/>
      <c r="U108" s="15"/>
      <c r="V108" s="11"/>
      <c r="W108" s="5"/>
      <c r="X108" s="9"/>
      <c r="Y108" s="10"/>
      <c r="Z108" s="9"/>
      <c r="AA108" s="13"/>
      <c r="AB108" s="11"/>
      <c r="AC108" s="13"/>
      <c r="AD108" s="9"/>
      <c r="AE108" s="9"/>
      <c r="AF108" s="9"/>
      <c r="AG108" s="13"/>
      <c r="AH108" s="15"/>
      <c r="AI108" s="11"/>
      <c r="AJ108" s="5"/>
      <c r="AK108" s="9"/>
      <c r="AL108" s="10"/>
      <c r="AM108" s="9"/>
      <c r="AN108" s="13"/>
      <c r="AO108" s="11"/>
      <c r="AP108" s="5"/>
      <c r="AQ108" s="9"/>
      <c r="AR108" s="10"/>
      <c r="AS108" s="9"/>
      <c r="AT108" s="13"/>
      <c r="AU108" s="17"/>
    </row>
    <row r="109" spans="1:47" x14ac:dyDescent="0.25">
      <c r="A109" s="1"/>
      <c r="B109" s="1"/>
      <c r="C109" s="5"/>
      <c r="D109" s="5"/>
      <c r="E109" s="5"/>
      <c r="F109" s="5"/>
      <c r="G109" s="26"/>
      <c r="H109" s="24"/>
      <c r="I109" s="19"/>
      <c r="J109" s="20"/>
      <c r="K109" s="21"/>
      <c r="L109" s="22"/>
      <c r="M109" s="21"/>
      <c r="N109" s="23"/>
      <c r="O109" s="5"/>
      <c r="P109" s="5"/>
      <c r="Q109" s="6"/>
      <c r="R109" s="10"/>
      <c r="S109" s="9"/>
      <c r="T109" s="9"/>
      <c r="U109" s="15"/>
      <c r="V109" s="11"/>
      <c r="W109" s="5"/>
      <c r="X109" s="9"/>
      <c r="Y109" s="10"/>
      <c r="Z109" s="9"/>
      <c r="AA109" s="13"/>
      <c r="AB109" s="11"/>
      <c r="AC109" s="13"/>
      <c r="AD109" s="9"/>
      <c r="AE109" s="9"/>
      <c r="AF109" s="9"/>
      <c r="AG109" s="13"/>
      <c r="AH109" s="15"/>
      <c r="AI109" s="11"/>
      <c r="AJ109" s="5"/>
      <c r="AK109" s="9"/>
      <c r="AL109" s="10"/>
      <c r="AM109" s="9"/>
      <c r="AN109" s="13"/>
      <c r="AO109" s="11"/>
      <c r="AP109" s="5"/>
      <c r="AQ109" s="9"/>
      <c r="AR109" s="10"/>
      <c r="AS109" s="9"/>
      <c r="AT109" s="13"/>
      <c r="AU109" s="17"/>
    </row>
  </sheetData>
  <mergeCells count="7">
    <mergeCell ref="AO1:AT1"/>
    <mergeCell ref="G1:H1"/>
    <mergeCell ref="I1:N1"/>
    <mergeCell ref="O1:T1"/>
    <mergeCell ref="V1:AA1"/>
    <mergeCell ref="AB1:AG1"/>
    <mergeCell ref="AI1:AN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20F3033455448A19E237BA15264A3" ma:contentTypeVersion="8" ma:contentTypeDescription="Create a new document." ma:contentTypeScope="" ma:versionID="fcb4454ce18746076aff0d8e1dace663">
  <xsd:schema xmlns:xsd="http://www.w3.org/2001/XMLSchema" xmlns:xs="http://www.w3.org/2001/XMLSchema" xmlns:p="http://schemas.microsoft.com/office/2006/metadata/properties" xmlns:ns3="377f1e07-9c56-47c0-8830-951c6e87014a" targetNamespace="http://schemas.microsoft.com/office/2006/metadata/properties" ma:root="true" ma:fieldsID="911a0d5da9368a3d1e5fa414a537026f" ns3:_="">
    <xsd:import namespace="377f1e07-9c56-47c0-8830-951c6e8701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f1e07-9c56-47c0-8830-951c6e870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B696E-7DA8-4E03-AE96-5E7C974B4D6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377f1e07-9c56-47c0-8830-951c6e87014a"/>
  </ds:schemaRefs>
</ds:datastoreItem>
</file>

<file path=customXml/itemProps2.xml><?xml version="1.0" encoding="utf-8"?>
<ds:datastoreItem xmlns:ds="http://schemas.openxmlformats.org/officeDocument/2006/customXml" ds:itemID="{A9A5BED4-C616-48C5-A45A-3058E35CB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f1e07-9c56-47c0-8830-951c6e870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7C822A-7F85-4C89-AE1B-64CDCA9D216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f7ac0a-4681-4823-ab0b-04ef02c5f873}" enabled="1" method="Standard" siteId="{42f7676c-f455-423c-82f6-dc2d99791a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Frauen</vt:lpstr>
      <vt:lpstr>Männer</vt:lpstr>
      <vt:lpstr>Sheet3</vt:lpstr>
    </vt:vector>
  </TitlesOfParts>
  <Company>Karlsruher Lemminge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Auswertung Lemming des Jahres 2024</dc:title>
  <dc:creator>Matthias Rosenkranz</dc:creator>
  <cp:lastModifiedBy>Rosenkranz, Matthias</cp:lastModifiedBy>
  <cp:lastPrinted>2019-11-21T14:13:41Z</cp:lastPrinted>
  <dcterms:created xsi:type="dcterms:W3CDTF">2012-02-13T07:28:10Z</dcterms:created>
  <dcterms:modified xsi:type="dcterms:W3CDTF">2026-07-31T12:57:45Z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0x01010054820F3033455448A19E237BA15264A3</vt:lpwstr>
  </property>
</Properties>
</file>