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p-my.sharepoint.com/personal/matthias_rosenkranz_sap_com/Documents/Documents/Lemming des Jahres/2024/"/>
    </mc:Choice>
  </mc:AlternateContent>
  <xr:revisionPtr revIDLastSave="2" documentId="8_{34FC9DA8-CECF-4335-8714-D9FD23667C68}" xr6:coauthVersionLast="47" xr6:coauthVersionMax="47" xr10:uidLastSave="{242E835D-B6D8-4829-B965-80D5AC19B947}"/>
  <bookViews>
    <workbookView xWindow="3900" yWindow="3900" windowWidth="43200" windowHeight="17685" xr2:uid="{00000000-000D-0000-FFFF-FFFF00000000}"/>
  </bookViews>
  <sheets>
    <sheet name="Frauen" sheetId="1" r:id="rId1"/>
    <sheet name="Männer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46" i="2" l="1"/>
  <c r="AN46" i="2"/>
  <c r="AL46" i="2"/>
  <c r="AK46" i="2"/>
  <c r="AJ46" i="2"/>
  <c r="AG46" i="2"/>
  <c r="AE46" i="2"/>
  <c r="AD46" i="2"/>
  <c r="AC46" i="2"/>
  <c r="AA46" i="2"/>
  <c r="Y46" i="2"/>
  <c r="X46" i="2"/>
  <c r="W46" i="2"/>
  <c r="T46" i="2"/>
  <c r="R46" i="2"/>
  <c r="Q46" i="2"/>
  <c r="P46" i="2"/>
  <c r="N46" i="2"/>
  <c r="L46" i="2"/>
  <c r="K46" i="2"/>
  <c r="J46" i="2"/>
  <c r="E46" i="2"/>
  <c r="AR46" i="2" s="1"/>
  <c r="AQ37" i="2"/>
  <c r="AN37" i="2"/>
  <c r="AL37" i="2"/>
  <c r="AK37" i="2"/>
  <c r="AJ37" i="2"/>
  <c r="AG37" i="2"/>
  <c r="AE37" i="2"/>
  <c r="AD37" i="2"/>
  <c r="AC37" i="2"/>
  <c r="AA37" i="2"/>
  <c r="Y37" i="2"/>
  <c r="X37" i="2"/>
  <c r="W37" i="2"/>
  <c r="T37" i="2"/>
  <c r="R37" i="2"/>
  <c r="Q37" i="2"/>
  <c r="P37" i="2"/>
  <c r="N37" i="2"/>
  <c r="L37" i="2"/>
  <c r="K37" i="2"/>
  <c r="J37" i="2"/>
  <c r="E37" i="2"/>
  <c r="AR37" i="2" s="1"/>
  <c r="AQ34" i="2"/>
  <c r="AN34" i="2"/>
  <c r="AL34" i="2"/>
  <c r="AK34" i="2"/>
  <c r="AJ34" i="2"/>
  <c r="AG34" i="2"/>
  <c r="AE34" i="2"/>
  <c r="AD34" i="2"/>
  <c r="AC34" i="2"/>
  <c r="AA34" i="2"/>
  <c r="Y34" i="2"/>
  <c r="X34" i="2"/>
  <c r="W34" i="2"/>
  <c r="T34" i="2"/>
  <c r="R34" i="2"/>
  <c r="Q34" i="2"/>
  <c r="P34" i="2"/>
  <c r="N34" i="2"/>
  <c r="L34" i="2"/>
  <c r="K34" i="2"/>
  <c r="J34" i="2"/>
  <c r="E34" i="2"/>
  <c r="AR34" i="2" s="1"/>
  <c r="AQ28" i="2"/>
  <c r="AN28" i="2"/>
  <c r="AL28" i="2"/>
  <c r="AK28" i="2"/>
  <c r="AJ28" i="2"/>
  <c r="AG28" i="2"/>
  <c r="AE28" i="2"/>
  <c r="AD28" i="2"/>
  <c r="AC28" i="2"/>
  <c r="AA28" i="2"/>
  <c r="Y28" i="2"/>
  <c r="X28" i="2"/>
  <c r="W28" i="2"/>
  <c r="T28" i="2"/>
  <c r="R28" i="2"/>
  <c r="Q28" i="2"/>
  <c r="P28" i="2"/>
  <c r="N28" i="2"/>
  <c r="L28" i="2"/>
  <c r="K28" i="2"/>
  <c r="J28" i="2"/>
  <c r="E28" i="2"/>
  <c r="AR28" i="2" s="1"/>
  <c r="AT50" i="2"/>
  <c r="AR50" i="2"/>
  <c r="AQ50" i="2"/>
  <c r="AP50" i="2"/>
  <c r="AK50" i="2"/>
  <c r="AG50" i="2"/>
  <c r="AE50" i="2"/>
  <c r="AD50" i="2"/>
  <c r="AC50" i="2"/>
  <c r="AA50" i="2"/>
  <c r="Y50" i="2"/>
  <c r="X50" i="2"/>
  <c r="W50" i="2"/>
  <c r="T50" i="2"/>
  <c r="R50" i="2"/>
  <c r="Q50" i="2"/>
  <c r="P50" i="2"/>
  <c r="N50" i="2"/>
  <c r="L50" i="2"/>
  <c r="K50" i="2"/>
  <c r="J50" i="2"/>
  <c r="E50" i="2"/>
  <c r="AL50" i="2" s="1"/>
  <c r="AQ42" i="2"/>
  <c r="AK42" i="2"/>
  <c r="AG42" i="2"/>
  <c r="AE42" i="2"/>
  <c r="AD42" i="2"/>
  <c r="AC42" i="2"/>
  <c r="AA42" i="2"/>
  <c r="Y42" i="2"/>
  <c r="X42" i="2"/>
  <c r="W42" i="2"/>
  <c r="T42" i="2"/>
  <c r="R42" i="2"/>
  <c r="Q42" i="2"/>
  <c r="P42" i="2"/>
  <c r="N42" i="2"/>
  <c r="L42" i="2"/>
  <c r="K42" i="2"/>
  <c r="J42" i="2"/>
  <c r="E42" i="2"/>
  <c r="AL42" i="2" s="1"/>
  <c r="AQ29" i="2"/>
  <c r="AN29" i="2"/>
  <c r="AL29" i="2"/>
  <c r="AK29" i="2"/>
  <c r="AJ29" i="2"/>
  <c r="AG29" i="2"/>
  <c r="AE29" i="2"/>
  <c r="AD29" i="2"/>
  <c r="AC29" i="2"/>
  <c r="AA29" i="2"/>
  <c r="Y29" i="2"/>
  <c r="X29" i="2"/>
  <c r="W29" i="2"/>
  <c r="T29" i="2"/>
  <c r="R29" i="2"/>
  <c r="Q29" i="2"/>
  <c r="P29" i="2"/>
  <c r="N29" i="2"/>
  <c r="L29" i="2"/>
  <c r="K29" i="2"/>
  <c r="J29" i="2"/>
  <c r="E29" i="2"/>
  <c r="AR29" i="2" s="1"/>
  <c r="AQ44" i="2"/>
  <c r="AN44" i="2"/>
  <c r="AL44" i="2"/>
  <c r="AK44" i="2"/>
  <c r="AJ44" i="2"/>
  <c r="AG44" i="2"/>
  <c r="AE44" i="2"/>
  <c r="AD44" i="2"/>
  <c r="AC44" i="2"/>
  <c r="AA44" i="2"/>
  <c r="Y44" i="2"/>
  <c r="X44" i="2"/>
  <c r="W44" i="2"/>
  <c r="T44" i="2"/>
  <c r="R44" i="2"/>
  <c r="Q44" i="2"/>
  <c r="P44" i="2"/>
  <c r="N44" i="2"/>
  <c r="L44" i="2"/>
  <c r="K44" i="2"/>
  <c r="J44" i="2"/>
  <c r="E44" i="2"/>
  <c r="AR44" i="2" s="1"/>
  <c r="AT7" i="1"/>
  <c r="AR7" i="1"/>
  <c r="AQ7" i="1"/>
  <c r="AP7" i="1"/>
  <c r="AN7" i="1"/>
  <c r="AL7" i="1"/>
  <c r="AK7" i="1"/>
  <c r="AJ7" i="1"/>
  <c r="AG7" i="1"/>
  <c r="AE7" i="1"/>
  <c r="AD7" i="1"/>
  <c r="AF7" i="1" s="1"/>
  <c r="AC7" i="1"/>
  <c r="X7" i="1"/>
  <c r="T7" i="1"/>
  <c r="R7" i="1"/>
  <c r="Q7" i="1"/>
  <c r="P7" i="1"/>
  <c r="N7" i="1"/>
  <c r="L7" i="1"/>
  <c r="K7" i="1"/>
  <c r="J7" i="1"/>
  <c r="E7" i="1"/>
  <c r="Y7" i="1" s="1"/>
  <c r="AT14" i="1"/>
  <c r="AR14" i="1"/>
  <c r="AQ14" i="1"/>
  <c r="AP14" i="1"/>
  <c r="AN14" i="1"/>
  <c r="AL14" i="1"/>
  <c r="AK14" i="1"/>
  <c r="AJ14" i="1"/>
  <c r="AG14" i="1"/>
  <c r="AE14" i="1"/>
  <c r="AD14" i="1"/>
  <c r="AC14" i="1"/>
  <c r="X14" i="1"/>
  <c r="T14" i="1"/>
  <c r="R14" i="1"/>
  <c r="Q14" i="1"/>
  <c r="P14" i="1"/>
  <c r="N14" i="1"/>
  <c r="L14" i="1"/>
  <c r="K14" i="1"/>
  <c r="M14" i="1" s="1"/>
  <c r="J14" i="1"/>
  <c r="E14" i="1"/>
  <c r="Y14" i="1" s="1"/>
  <c r="E31" i="2"/>
  <c r="E4" i="2"/>
  <c r="E14" i="2"/>
  <c r="E6" i="2"/>
  <c r="E13" i="2"/>
  <c r="E18" i="2"/>
  <c r="R18" i="2" s="1"/>
  <c r="E25" i="2"/>
  <c r="E3" i="2"/>
  <c r="E15" i="2"/>
  <c r="E16" i="2"/>
  <c r="L16" i="2" s="1"/>
  <c r="E8" i="2"/>
  <c r="L8" i="2" s="1"/>
  <c r="E11" i="2"/>
  <c r="Y11" i="2" s="1"/>
  <c r="E56" i="2"/>
  <c r="E19" i="2"/>
  <c r="E45" i="2"/>
  <c r="AR45" i="2" s="1"/>
  <c r="E21" i="2"/>
  <c r="E9" i="2"/>
  <c r="AE9" i="2" s="1"/>
  <c r="E27" i="2"/>
  <c r="AR27" i="2" s="1"/>
  <c r="E36" i="2"/>
  <c r="E26" i="2"/>
  <c r="E39" i="2"/>
  <c r="E35" i="2"/>
  <c r="E43" i="2"/>
  <c r="E47" i="2"/>
  <c r="E20" i="2"/>
  <c r="E32" i="2"/>
  <c r="E30" i="2"/>
  <c r="E49" i="2"/>
  <c r="E24" i="2"/>
  <c r="E17" i="2"/>
  <c r="Y17" i="2" s="1"/>
  <c r="E41" i="2"/>
  <c r="E52" i="2"/>
  <c r="E12" i="2"/>
  <c r="Y12" i="2" s="1"/>
  <c r="E5" i="2"/>
  <c r="R5" i="2" s="1"/>
  <c r="E55" i="2"/>
  <c r="E38" i="2"/>
  <c r="E40" i="2"/>
  <c r="E10" i="2"/>
  <c r="E23" i="2"/>
  <c r="E22" i="2"/>
  <c r="E7" i="2"/>
  <c r="E53" i="2"/>
  <c r="E51" i="2"/>
  <c r="E54" i="2"/>
  <c r="E33" i="2"/>
  <c r="E48" i="2"/>
  <c r="E11" i="1"/>
  <c r="E4" i="1"/>
  <c r="Y4" i="1" s="1"/>
  <c r="E15" i="1"/>
  <c r="E5" i="1"/>
  <c r="E8" i="1"/>
  <c r="E9" i="1"/>
  <c r="E10" i="1"/>
  <c r="E6" i="1"/>
  <c r="E16" i="1"/>
  <c r="AL16" i="1" s="1"/>
  <c r="E3" i="1"/>
  <c r="E12" i="1"/>
  <c r="E13" i="1"/>
  <c r="Q4" i="1"/>
  <c r="Q6" i="1"/>
  <c r="Q16" i="1"/>
  <c r="AR4" i="1"/>
  <c r="J4" i="1"/>
  <c r="K4" i="1"/>
  <c r="L4" i="1"/>
  <c r="N4" i="1"/>
  <c r="P4" i="1"/>
  <c r="R4" i="1"/>
  <c r="T4" i="1"/>
  <c r="X4" i="1"/>
  <c r="AD4" i="1"/>
  <c r="AK4" i="1"/>
  <c r="AQ4" i="1"/>
  <c r="AR16" i="1"/>
  <c r="J16" i="1"/>
  <c r="K16" i="1"/>
  <c r="L16" i="1"/>
  <c r="N16" i="1"/>
  <c r="P16" i="1"/>
  <c r="R16" i="1"/>
  <c r="T16" i="1"/>
  <c r="W16" i="1"/>
  <c r="X16" i="1"/>
  <c r="Y16" i="1"/>
  <c r="AA16" i="1"/>
  <c r="AC16" i="1"/>
  <c r="AD16" i="1"/>
  <c r="AE16" i="1"/>
  <c r="AG16" i="1"/>
  <c r="AK16" i="1"/>
  <c r="AQ16" i="1"/>
  <c r="AQ5" i="2"/>
  <c r="AK5" i="2"/>
  <c r="AD5" i="2"/>
  <c r="AA5" i="2"/>
  <c r="Y5" i="2"/>
  <c r="X5" i="2"/>
  <c r="W5" i="2"/>
  <c r="Q5" i="2"/>
  <c r="K5" i="2"/>
  <c r="AQ25" i="2"/>
  <c r="AN25" i="2"/>
  <c r="AL25" i="2"/>
  <c r="AK25" i="2"/>
  <c r="AJ25" i="2"/>
  <c r="AG25" i="2"/>
  <c r="AE25" i="2"/>
  <c r="AD25" i="2"/>
  <c r="AC25" i="2"/>
  <c r="X25" i="2"/>
  <c r="Q25" i="2"/>
  <c r="N25" i="2"/>
  <c r="L25" i="2"/>
  <c r="K25" i="2"/>
  <c r="J25" i="2"/>
  <c r="R25" i="2"/>
  <c r="L18" i="2"/>
  <c r="Y39" i="2"/>
  <c r="Y45" i="2"/>
  <c r="L17" i="2"/>
  <c r="L12" i="2"/>
  <c r="AQ39" i="2"/>
  <c r="AK39" i="2"/>
  <c r="AG39" i="2"/>
  <c r="AE39" i="2"/>
  <c r="AD39" i="2"/>
  <c r="AC39" i="2"/>
  <c r="X39" i="2"/>
  <c r="T39" i="2"/>
  <c r="R39" i="2"/>
  <c r="Q39" i="2"/>
  <c r="P39" i="2"/>
  <c r="N39" i="2"/>
  <c r="L39" i="2"/>
  <c r="K39" i="2"/>
  <c r="J39" i="2"/>
  <c r="AR39" i="2"/>
  <c r="AQ27" i="2"/>
  <c r="AK27" i="2"/>
  <c r="AG27" i="2"/>
  <c r="AE27" i="2"/>
  <c r="AD27" i="2"/>
  <c r="AC27" i="2"/>
  <c r="AA27" i="2"/>
  <c r="Y27" i="2"/>
  <c r="X27" i="2"/>
  <c r="W27" i="2"/>
  <c r="T27" i="2"/>
  <c r="R27" i="2"/>
  <c r="Q27" i="2"/>
  <c r="P27" i="2"/>
  <c r="N27" i="2"/>
  <c r="L27" i="2"/>
  <c r="K27" i="2"/>
  <c r="J27" i="2"/>
  <c r="AQ11" i="2"/>
  <c r="AK11" i="2"/>
  <c r="AE11" i="2"/>
  <c r="AD11" i="2"/>
  <c r="X11" i="2"/>
  <c r="T11" i="2"/>
  <c r="R11" i="2"/>
  <c r="Q11" i="2"/>
  <c r="P11" i="2"/>
  <c r="N11" i="2"/>
  <c r="L11" i="2"/>
  <c r="K11" i="2"/>
  <c r="J11" i="2"/>
  <c r="AQ9" i="2"/>
  <c r="AK9" i="2"/>
  <c r="AD9" i="2"/>
  <c r="X9" i="2"/>
  <c r="T9" i="2"/>
  <c r="R9" i="2"/>
  <c r="Q9" i="2"/>
  <c r="P9" i="2"/>
  <c r="N9" i="2"/>
  <c r="L9" i="2"/>
  <c r="K9" i="2"/>
  <c r="J9" i="2"/>
  <c r="Y9" i="2"/>
  <c r="AQ18" i="2"/>
  <c r="AL18" i="2"/>
  <c r="AK18" i="2"/>
  <c r="AD18" i="2"/>
  <c r="X18" i="2"/>
  <c r="Q18" i="2"/>
  <c r="K18" i="2"/>
  <c r="AQ16" i="2"/>
  <c r="AN16" i="2"/>
  <c r="AL16" i="2"/>
  <c r="AK16" i="2"/>
  <c r="AJ16" i="2"/>
  <c r="AG16" i="2"/>
  <c r="AE16" i="2"/>
  <c r="AD16" i="2"/>
  <c r="AC16" i="2"/>
  <c r="X16" i="2"/>
  <c r="T16" i="2"/>
  <c r="R16" i="2"/>
  <c r="Q16" i="2"/>
  <c r="P16" i="2"/>
  <c r="K16" i="2"/>
  <c r="AQ12" i="2"/>
  <c r="AN12" i="2"/>
  <c r="AL12" i="2"/>
  <c r="AK12" i="2"/>
  <c r="AJ12" i="2"/>
  <c r="AG12" i="2"/>
  <c r="AE12" i="2"/>
  <c r="AD12" i="2"/>
  <c r="AC12" i="2"/>
  <c r="X12" i="2"/>
  <c r="T12" i="2"/>
  <c r="R12" i="2"/>
  <c r="Q12" i="2"/>
  <c r="P12" i="2"/>
  <c r="K12" i="2"/>
  <c r="AR17" i="2"/>
  <c r="AQ17" i="2"/>
  <c r="AN17" i="2"/>
  <c r="AL17" i="2"/>
  <c r="AK17" i="2"/>
  <c r="AJ17" i="2"/>
  <c r="AG17" i="2"/>
  <c r="AE17" i="2"/>
  <c r="AD17" i="2"/>
  <c r="AC17" i="2"/>
  <c r="X17" i="2"/>
  <c r="T17" i="2"/>
  <c r="R17" i="2"/>
  <c r="Q17" i="2"/>
  <c r="P17" i="2"/>
  <c r="K17" i="2"/>
  <c r="AL45" i="2"/>
  <c r="AQ45" i="2"/>
  <c r="AK45" i="2"/>
  <c r="AD45" i="2"/>
  <c r="X45" i="2"/>
  <c r="Q45" i="2"/>
  <c r="K45" i="2"/>
  <c r="AQ8" i="2"/>
  <c r="AK8" i="2"/>
  <c r="AG8" i="2"/>
  <c r="AE8" i="2"/>
  <c r="AD8" i="2"/>
  <c r="AC8" i="2"/>
  <c r="X8" i="2"/>
  <c r="T8" i="2"/>
  <c r="R8" i="2"/>
  <c r="Q8" i="2"/>
  <c r="P8" i="2"/>
  <c r="K8" i="2"/>
  <c r="AE4" i="1" l="1"/>
  <c r="AF4" i="1" s="1"/>
  <c r="AL4" i="1"/>
  <c r="AM4" i="1" s="1"/>
  <c r="S37" i="2"/>
  <c r="AE5" i="2"/>
  <c r="AF28" i="2"/>
  <c r="M37" i="2"/>
  <c r="U37" i="2" s="1"/>
  <c r="AM37" i="2"/>
  <c r="M46" i="2"/>
  <c r="Z46" i="2"/>
  <c r="AF37" i="2"/>
  <c r="AF46" i="2"/>
  <c r="AM46" i="2"/>
  <c r="S46" i="2"/>
  <c r="U46" i="2" s="1"/>
  <c r="AS46" i="2"/>
  <c r="S34" i="2"/>
  <c r="M34" i="2"/>
  <c r="AM34" i="2"/>
  <c r="AS37" i="2"/>
  <c r="AR42" i="2"/>
  <c r="AS42" i="2" s="1"/>
  <c r="AR11" i="2"/>
  <c r="Z37" i="2"/>
  <c r="Z34" i="2"/>
  <c r="AF34" i="2"/>
  <c r="AR12" i="2"/>
  <c r="AS12" i="2" s="1"/>
  <c r="AS34" i="2"/>
  <c r="AR5" i="2"/>
  <c r="AS5" i="2" s="1"/>
  <c r="AS28" i="2"/>
  <c r="S28" i="2"/>
  <c r="Z28" i="2"/>
  <c r="M28" i="2"/>
  <c r="AM28" i="2"/>
  <c r="M50" i="2"/>
  <c r="Z50" i="2"/>
  <c r="AF42" i="2"/>
  <c r="AF50" i="2"/>
  <c r="AF29" i="2"/>
  <c r="S42" i="2"/>
  <c r="Z42" i="2"/>
  <c r="AS50" i="2"/>
  <c r="S50" i="2"/>
  <c r="AM50" i="2"/>
  <c r="S29" i="2"/>
  <c r="AM42" i="2"/>
  <c r="AS29" i="2"/>
  <c r="S44" i="2"/>
  <c r="AS44" i="2"/>
  <c r="M29" i="2"/>
  <c r="AM29" i="2"/>
  <c r="M42" i="2"/>
  <c r="Z29" i="2"/>
  <c r="AF44" i="2"/>
  <c r="M44" i="2"/>
  <c r="AM44" i="2"/>
  <c r="L5" i="2"/>
  <c r="M5" i="2" s="1"/>
  <c r="Z44" i="2"/>
  <c r="AL5" i="2"/>
  <c r="AM5" i="2" s="1"/>
  <c r="AL11" i="2"/>
  <c r="AM11" i="2" s="1"/>
  <c r="M7" i="1"/>
  <c r="S7" i="1"/>
  <c r="AM14" i="1"/>
  <c r="AS7" i="1"/>
  <c r="AM7" i="1"/>
  <c r="Z7" i="1"/>
  <c r="AF14" i="1"/>
  <c r="Z14" i="1"/>
  <c r="S14" i="1"/>
  <c r="U14" i="1" s="1"/>
  <c r="AS14" i="1"/>
  <c r="AF16" i="1"/>
  <c r="L45" i="2"/>
  <c r="M45" i="2" s="1"/>
  <c r="R45" i="2"/>
  <c r="S45" i="2" s="1"/>
  <c r="AF5" i="2"/>
  <c r="Y25" i="2"/>
  <c r="Z25" i="2" s="1"/>
  <c r="AR25" i="2"/>
  <c r="AS25" i="2" s="1"/>
  <c r="AM16" i="1"/>
  <c r="Z16" i="1"/>
  <c r="AS16" i="1"/>
  <c r="Z4" i="1"/>
  <c r="AS4" i="1"/>
  <c r="S4" i="1"/>
  <c r="M4" i="1"/>
  <c r="S16" i="1"/>
  <c r="M16" i="1"/>
  <c r="Y8" i="2"/>
  <c r="Z8" i="2" s="1"/>
  <c r="Z5" i="2"/>
  <c r="S5" i="2"/>
  <c r="AF25" i="2"/>
  <c r="AM25" i="2"/>
  <c r="M25" i="2"/>
  <c r="S25" i="2"/>
  <c r="AE18" i="2"/>
  <c r="AF18" i="2" s="1"/>
  <c r="AF39" i="2"/>
  <c r="AF27" i="2"/>
  <c r="AL39" i="2"/>
  <c r="AM39" i="2" s="1"/>
  <c r="AL8" i="2"/>
  <c r="AM8" i="2" s="1"/>
  <c r="AL27" i="2"/>
  <c r="AM27" i="2" s="1"/>
  <c r="AL9" i="2"/>
  <c r="AM9" i="2" s="1"/>
  <c r="M39" i="2"/>
  <c r="M27" i="2"/>
  <c r="AS39" i="2"/>
  <c r="S39" i="2"/>
  <c r="AR18" i="2"/>
  <c r="AS18" i="2" s="1"/>
  <c r="AS27" i="2"/>
  <c r="S27" i="2"/>
  <c r="Z39" i="2"/>
  <c r="Z27" i="2"/>
  <c r="Y16" i="2"/>
  <c r="Z16" i="2" s="1"/>
  <c r="AR9" i="2"/>
  <c r="AS9" i="2" s="1"/>
  <c r="AR8" i="2"/>
  <c r="AS8" i="2" s="1"/>
  <c r="AR16" i="2"/>
  <c r="AS16" i="2" s="1"/>
  <c r="Y18" i="2"/>
  <c r="Z18" i="2" s="1"/>
  <c r="S9" i="2"/>
  <c r="S12" i="2"/>
  <c r="M9" i="2"/>
  <c r="AF11" i="2"/>
  <c r="AF9" i="2"/>
  <c r="Z11" i="2"/>
  <c r="M11" i="2"/>
  <c r="S11" i="2"/>
  <c r="AS11" i="2"/>
  <c r="S18" i="2"/>
  <c r="Z17" i="2"/>
  <c r="AF12" i="2"/>
  <c r="Z9" i="2"/>
  <c r="AM18" i="2"/>
  <c r="M18" i="2"/>
  <c r="M16" i="2"/>
  <c r="AM16" i="2"/>
  <c r="S16" i="2"/>
  <c r="AF16" i="2"/>
  <c r="AM12" i="2"/>
  <c r="AF17" i="2"/>
  <c r="M12" i="2"/>
  <c r="Z12" i="2"/>
  <c r="S17" i="2"/>
  <c r="AS17" i="2"/>
  <c r="M17" i="2"/>
  <c r="AM17" i="2"/>
  <c r="M8" i="2"/>
  <c r="AE45" i="2"/>
  <c r="AF45" i="2" s="1"/>
  <c r="AM45" i="2"/>
  <c r="Z45" i="2"/>
  <c r="AS45" i="2"/>
  <c r="AF8" i="2"/>
  <c r="S8" i="2"/>
  <c r="AQ54" i="2"/>
  <c r="AK54" i="2"/>
  <c r="AE54" i="2"/>
  <c r="AD54" i="2"/>
  <c r="X54" i="2"/>
  <c r="T54" i="2"/>
  <c r="R54" i="2"/>
  <c r="Q54" i="2"/>
  <c r="P54" i="2"/>
  <c r="N54" i="2"/>
  <c r="L54" i="2"/>
  <c r="K54" i="2"/>
  <c r="J54" i="2"/>
  <c r="Y54" i="2"/>
  <c r="AH28" i="2" l="1"/>
  <c r="AH46" i="2"/>
  <c r="AH37" i="2"/>
  <c r="U34" i="2"/>
  <c r="AH34" i="2"/>
  <c r="U28" i="2"/>
  <c r="U50" i="2"/>
  <c r="AH29" i="2"/>
  <c r="AH50" i="2"/>
  <c r="AH42" i="2"/>
  <c r="U29" i="2"/>
  <c r="U42" i="2"/>
  <c r="AH44" i="2"/>
  <c r="AU42" i="2"/>
  <c r="U44" i="2"/>
  <c r="U7" i="1"/>
  <c r="AH7" i="1"/>
  <c r="AH14" i="1"/>
  <c r="U5" i="2"/>
  <c r="AH16" i="1"/>
  <c r="AH4" i="1"/>
  <c r="AH5" i="2"/>
  <c r="U16" i="1"/>
  <c r="U4" i="1"/>
  <c r="AH25" i="2"/>
  <c r="U25" i="2"/>
  <c r="AH27" i="2"/>
  <c r="AH39" i="2"/>
  <c r="U27" i="2"/>
  <c r="U39" i="2"/>
  <c r="U9" i="2"/>
  <c r="AH17" i="2"/>
  <c r="AH12" i="2"/>
  <c r="U12" i="2"/>
  <c r="AH9" i="2"/>
  <c r="AH11" i="2"/>
  <c r="U11" i="2"/>
  <c r="U18" i="2"/>
  <c r="AH18" i="2"/>
  <c r="U16" i="2"/>
  <c r="AH16" i="2"/>
  <c r="U17" i="2"/>
  <c r="U45" i="2"/>
  <c r="AL54" i="2"/>
  <c r="AM54" i="2" s="1"/>
  <c r="U8" i="2"/>
  <c r="AH45" i="2"/>
  <c r="AH8" i="2"/>
  <c r="AR54" i="2"/>
  <c r="AS54" i="2" s="1"/>
  <c r="S54" i="2"/>
  <c r="AF54" i="2"/>
  <c r="M54" i="2"/>
  <c r="Z54" i="2"/>
  <c r="L13" i="1"/>
  <c r="L15" i="1"/>
  <c r="L6" i="1"/>
  <c r="L9" i="1"/>
  <c r="L8" i="1"/>
  <c r="L12" i="1"/>
  <c r="L10" i="1"/>
  <c r="L3" i="1"/>
  <c r="G42" i="2" l="1"/>
  <c r="U54" i="2"/>
  <c r="AH54" i="2"/>
  <c r="L11" i="1"/>
  <c r="AR11" i="1"/>
  <c r="AQ11" i="1"/>
  <c r="AL11" i="1"/>
  <c r="AK11" i="1"/>
  <c r="AE11" i="1"/>
  <c r="AD11" i="1"/>
  <c r="Y11" i="1"/>
  <c r="X11" i="1"/>
  <c r="Q11" i="1"/>
  <c r="K11" i="1"/>
  <c r="R11" i="1"/>
  <c r="AS11" i="1" l="1"/>
  <c r="AM11" i="1"/>
  <c r="Z11" i="1"/>
  <c r="AF11" i="1"/>
  <c r="S11" i="1"/>
  <c r="M11" i="1"/>
  <c r="AT21" i="2"/>
  <c r="AR21" i="2"/>
  <c r="AQ21" i="2"/>
  <c r="AP21" i="2"/>
  <c r="AN21" i="2"/>
  <c r="AL21" i="2"/>
  <c r="AK21" i="2"/>
  <c r="AJ21" i="2"/>
  <c r="AG21" i="2"/>
  <c r="AE21" i="2"/>
  <c r="AD21" i="2"/>
  <c r="AC21" i="2"/>
  <c r="Y21" i="2"/>
  <c r="X21" i="2"/>
  <c r="R21" i="2"/>
  <c r="Q21" i="2"/>
  <c r="L21" i="2"/>
  <c r="K21" i="2"/>
  <c r="AH11" i="1" l="1"/>
  <c r="U11" i="1"/>
  <c r="AM21" i="2"/>
  <c r="M21" i="2"/>
  <c r="S21" i="2"/>
  <c r="Z21" i="2"/>
  <c r="AF21" i="2"/>
  <c r="AS21" i="2"/>
  <c r="U21" i="2" l="1"/>
  <c r="AH21" i="2"/>
  <c r="AT49" i="2"/>
  <c r="AR49" i="2"/>
  <c r="AQ49" i="2"/>
  <c r="AP49" i="2"/>
  <c r="AK49" i="2"/>
  <c r="AG49" i="2"/>
  <c r="AE49" i="2"/>
  <c r="AD49" i="2"/>
  <c r="AC49" i="2"/>
  <c r="Y49" i="2"/>
  <c r="X49" i="2"/>
  <c r="T49" i="2"/>
  <c r="R49" i="2"/>
  <c r="Q49" i="2"/>
  <c r="P49" i="2"/>
  <c r="N49" i="2"/>
  <c r="L49" i="2"/>
  <c r="K49" i="2"/>
  <c r="J49" i="2"/>
  <c r="AL49" i="2"/>
  <c r="M49" i="2" l="1"/>
  <c r="S49" i="2"/>
  <c r="AF49" i="2"/>
  <c r="AS49" i="2"/>
  <c r="Z49" i="2"/>
  <c r="AM49" i="2"/>
  <c r="AQ47" i="2"/>
  <c r="AN47" i="2"/>
  <c r="AL47" i="2"/>
  <c r="AK47" i="2"/>
  <c r="AJ47" i="2"/>
  <c r="AE47" i="2"/>
  <c r="AD47" i="2"/>
  <c r="Y47" i="2"/>
  <c r="X47" i="2"/>
  <c r="T47" i="2"/>
  <c r="R47" i="2"/>
  <c r="Q47" i="2"/>
  <c r="P47" i="2"/>
  <c r="N47" i="2"/>
  <c r="L47" i="2"/>
  <c r="K47" i="2"/>
  <c r="J47" i="2"/>
  <c r="AR47" i="2"/>
  <c r="AQ22" i="2"/>
  <c r="AL22" i="2"/>
  <c r="AK22" i="2"/>
  <c r="AD22" i="2"/>
  <c r="AA22" i="2"/>
  <c r="Y22" i="2"/>
  <c r="X22" i="2"/>
  <c r="W22" i="2"/>
  <c r="T22" i="2"/>
  <c r="R22" i="2"/>
  <c r="Q22" i="2"/>
  <c r="P22" i="2"/>
  <c r="N22" i="2"/>
  <c r="L22" i="2"/>
  <c r="K22" i="2"/>
  <c r="J22" i="2"/>
  <c r="AR22" i="2"/>
  <c r="U49" i="2" l="1"/>
  <c r="AE22" i="2"/>
  <c r="AF22" i="2" s="1"/>
  <c r="AH49" i="2"/>
  <c r="M47" i="2"/>
  <c r="S47" i="2"/>
  <c r="Z47" i="2"/>
  <c r="AF47" i="2"/>
  <c r="Z22" i="2"/>
  <c r="AM47" i="2"/>
  <c r="AS47" i="2"/>
  <c r="S22" i="2"/>
  <c r="AM22" i="2"/>
  <c r="AS22" i="2"/>
  <c r="M22" i="2"/>
  <c r="AR9" i="1"/>
  <c r="AQ9" i="1"/>
  <c r="AN9" i="1"/>
  <c r="AL9" i="1"/>
  <c r="AK9" i="1"/>
  <c r="AJ9" i="1"/>
  <c r="AE9" i="1"/>
  <c r="AD9" i="1"/>
  <c r="X9" i="1"/>
  <c r="T9" i="1"/>
  <c r="R9" i="1"/>
  <c r="Q9" i="1"/>
  <c r="P9" i="1"/>
  <c r="N9" i="1"/>
  <c r="K9" i="1"/>
  <c r="J9" i="1"/>
  <c r="Y9" i="1"/>
  <c r="AM9" i="1" l="1"/>
  <c r="U47" i="2"/>
  <c r="AH47" i="2"/>
  <c r="AH22" i="2"/>
  <c r="U22" i="2"/>
  <c r="M9" i="1"/>
  <c r="S9" i="1"/>
  <c r="AF9" i="1"/>
  <c r="Z9" i="1"/>
  <c r="AS9" i="1"/>
  <c r="AQ6" i="1"/>
  <c r="AN6" i="1"/>
  <c r="AL6" i="1"/>
  <c r="AK6" i="1"/>
  <c r="AJ6" i="1"/>
  <c r="AG6" i="1"/>
  <c r="AE6" i="1"/>
  <c r="AD6" i="1"/>
  <c r="AC6" i="1"/>
  <c r="X6" i="1"/>
  <c r="K6" i="1"/>
  <c r="Y6" i="1"/>
  <c r="AH9" i="1" l="1"/>
  <c r="U9" i="1"/>
  <c r="AM6" i="1"/>
  <c r="AR6" i="1"/>
  <c r="AS6" i="1" s="1"/>
  <c r="R6" i="1"/>
  <c r="S6" i="1" s="1"/>
  <c r="Z6" i="1"/>
  <c r="M6" i="1"/>
  <c r="AF6" i="1"/>
  <c r="AT20" i="2"/>
  <c r="AR20" i="2"/>
  <c r="AQ20" i="2"/>
  <c r="AP20" i="2"/>
  <c r="AK20" i="2"/>
  <c r="AE20" i="2"/>
  <c r="AD20" i="2"/>
  <c r="Y20" i="2"/>
  <c r="X20" i="2"/>
  <c r="T20" i="2"/>
  <c r="R20" i="2"/>
  <c r="Q20" i="2"/>
  <c r="P20" i="2"/>
  <c r="K20" i="2"/>
  <c r="L20" i="2"/>
  <c r="S20" i="2" l="1"/>
  <c r="AH6" i="1"/>
  <c r="U6" i="1"/>
  <c r="AL20" i="2"/>
  <c r="AM20" i="2" s="1"/>
  <c r="Z20" i="2"/>
  <c r="AF20" i="2"/>
  <c r="AS20" i="2"/>
  <c r="M20" i="2"/>
  <c r="AQ32" i="2"/>
  <c r="AK32" i="2"/>
  <c r="AE32" i="2"/>
  <c r="AD32" i="2"/>
  <c r="Y32" i="2"/>
  <c r="X32" i="2"/>
  <c r="R32" i="2"/>
  <c r="Q32" i="2"/>
  <c r="N32" i="2"/>
  <c r="L32" i="2"/>
  <c r="K32" i="2"/>
  <c r="J32" i="2"/>
  <c r="AR32" i="2"/>
  <c r="AQ43" i="2"/>
  <c r="AK43" i="2"/>
  <c r="AE43" i="2"/>
  <c r="AD43" i="2"/>
  <c r="Y43" i="2"/>
  <c r="X43" i="2"/>
  <c r="T43" i="2"/>
  <c r="R43" i="2"/>
  <c r="Q43" i="2"/>
  <c r="P43" i="2"/>
  <c r="N43" i="2"/>
  <c r="L43" i="2"/>
  <c r="K43" i="2"/>
  <c r="J43" i="2"/>
  <c r="AR43" i="2"/>
  <c r="AQ38" i="2"/>
  <c r="AN38" i="2"/>
  <c r="AL38" i="2"/>
  <c r="AK38" i="2"/>
  <c r="AJ38" i="2"/>
  <c r="AE38" i="2"/>
  <c r="AD38" i="2"/>
  <c r="AA38" i="2"/>
  <c r="Y38" i="2"/>
  <c r="X38" i="2"/>
  <c r="W38" i="2"/>
  <c r="R38" i="2"/>
  <c r="Q38" i="2"/>
  <c r="N38" i="2"/>
  <c r="L38" i="2"/>
  <c r="K38" i="2"/>
  <c r="J38" i="2"/>
  <c r="AR38" i="2"/>
  <c r="U20" i="2" l="1"/>
  <c r="M38" i="2"/>
  <c r="S38" i="2"/>
  <c r="AH20" i="2"/>
  <c r="M32" i="2"/>
  <c r="S32" i="2"/>
  <c r="AL43" i="2"/>
  <c r="AM43" i="2" s="1"/>
  <c r="AL32" i="2"/>
  <c r="AM32" i="2" s="1"/>
  <c r="Z32" i="2"/>
  <c r="AF32" i="2"/>
  <c r="AS32" i="2"/>
  <c r="M43" i="2"/>
  <c r="S43" i="2"/>
  <c r="Z43" i="2"/>
  <c r="AF43" i="2"/>
  <c r="AM38" i="2"/>
  <c r="AS43" i="2"/>
  <c r="Z38" i="2"/>
  <c r="AF38" i="2"/>
  <c r="AS38" i="2"/>
  <c r="Q10" i="1"/>
  <c r="Q13" i="1"/>
  <c r="Q15" i="1"/>
  <c r="Q3" i="1"/>
  <c r="AT13" i="1"/>
  <c r="AR13" i="1"/>
  <c r="AQ13" i="1"/>
  <c r="AP13" i="1"/>
  <c r="AN13" i="1"/>
  <c r="AL13" i="1"/>
  <c r="AK13" i="1"/>
  <c r="AJ13" i="1"/>
  <c r="AD13" i="1"/>
  <c r="X13" i="1"/>
  <c r="R13" i="1"/>
  <c r="N13" i="1"/>
  <c r="K13" i="1"/>
  <c r="J13" i="1"/>
  <c r="AE13" i="1"/>
  <c r="AT15" i="1"/>
  <c r="AR15" i="1"/>
  <c r="AQ15" i="1"/>
  <c r="AP15" i="1"/>
  <c r="AN15" i="1"/>
  <c r="AL15" i="1"/>
  <c r="AK15" i="1"/>
  <c r="AJ15" i="1"/>
  <c r="AD15" i="1"/>
  <c r="X15" i="1"/>
  <c r="R15" i="1"/>
  <c r="K15" i="1"/>
  <c r="Y15" i="1"/>
  <c r="AT24" i="2"/>
  <c r="AR24" i="2"/>
  <c r="AQ24" i="2"/>
  <c r="AP24" i="2"/>
  <c r="AL24" i="2"/>
  <c r="AK24" i="2"/>
  <c r="AD24" i="2"/>
  <c r="Y24" i="2"/>
  <c r="X24" i="2"/>
  <c r="T24" i="2"/>
  <c r="R24" i="2"/>
  <c r="Q24" i="2"/>
  <c r="P24" i="2"/>
  <c r="N24" i="2"/>
  <c r="L24" i="2"/>
  <c r="K24" i="2"/>
  <c r="J24" i="2"/>
  <c r="AE24" i="2"/>
  <c r="AR15" i="2"/>
  <c r="AQ15" i="2"/>
  <c r="AN15" i="2"/>
  <c r="AL15" i="2"/>
  <c r="AK15" i="2"/>
  <c r="AJ15" i="2"/>
  <c r="AD15" i="2"/>
  <c r="Y15" i="2"/>
  <c r="X15" i="2"/>
  <c r="R15" i="2"/>
  <c r="Q15" i="2"/>
  <c r="L15" i="2"/>
  <c r="K15" i="2"/>
  <c r="AE15" i="2"/>
  <c r="AR56" i="2"/>
  <c r="AQ56" i="2"/>
  <c r="AK56" i="2"/>
  <c r="AD56" i="2"/>
  <c r="AA56" i="2"/>
  <c r="Y56" i="2"/>
  <c r="X56" i="2"/>
  <c r="W56" i="2"/>
  <c r="R56" i="2"/>
  <c r="Q56" i="2"/>
  <c r="L56" i="2"/>
  <c r="K56" i="2"/>
  <c r="AE56" i="2"/>
  <c r="AR36" i="2"/>
  <c r="AQ36" i="2"/>
  <c r="AL36" i="2"/>
  <c r="AK36" i="2"/>
  <c r="AD36" i="2"/>
  <c r="Y36" i="2"/>
  <c r="X36" i="2"/>
  <c r="T36" i="2"/>
  <c r="R36" i="2"/>
  <c r="Q36" i="2"/>
  <c r="P36" i="2"/>
  <c r="N36" i="2"/>
  <c r="L36" i="2"/>
  <c r="K36" i="2"/>
  <c r="J36" i="2"/>
  <c r="AE36" i="2"/>
  <c r="AR41" i="2"/>
  <c r="AQ41" i="2"/>
  <c r="AL41" i="2"/>
  <c r="AK41" i="2"/>
  <c r="AD41" i="2"/>
  <c r="Y41" i="2"/>
  <c r="X41" i="2"/>
  <c r="R41" i="2"/>
  <c r="Q41" i="2"/>
  <c r="N41" i="2"/>
  <c r="L41" i="2"/>
  <c r="K41" i="2"/>
  <c r="J41" i="2"/>
  <c r="AE41" i="2"/>
  <c r="L33" i="2"/>
  <c r="K33" i="2"/>
  <c r="P33" i="2"/>
  <c r="Q33" i="2"/>
  <c r="R33" i="2"/>
  <c r="T33" i="2"/>
  <c r="W33" i="2"/>
  <c r="X33" i="2"/>
  <c r="Y33" i="2"/>
  <c r="AA33" i="2"/>
  <c r="AC33" i="2"/>
  <c r="AD33" i="2"/>
  <c r="AE33" i="2"/>
  <c r="AG33" i="2"/>
  <c r="AK33" i="2"/>
  <c r="AL33" i="2"/>
  <c r="AQ33" i="2"/>
  <c r="AR33" i="2"/>
  <c r="U38" i="2" l="1"/>
  <c r="U32" i="2"/>
  <c r="U43" i="2"/>
  <c r="AL56" i="2"/>
  <c r="AM56" i="2" s="1"/>
  <c r="S15" i="1"/>
  <c r="AH32" i="2"/>
  <c r="S13" i="1"/>
  <c r="AH43" i="2"/>
  <c r="AM24" i="2"/>
  <c r="AS24" i="2"/>
  <c r="AH38" i="2"/>
  <c r="S24" i="2"/>
  <c r="Z24" i="2"/>
  <c r="Z15" i="2"/>
  <c r="AM13" i="1"/>
  <c r="AS13" i="1"/>
  <c r="M13" i="1"/>
  <c r="AF13" i="1"/>
  <c r="Y13" i="1"/>
  <c r="Z13" i="1" s="1"/>
  <c r="AE15" i="1"/>
  <c r="AF15" i="1" s="1"/>
  <c r="AM15" i="1"/>
  <c r="AS15" i="1"/>
  <c r="M15" i="1"/>
  <c r="Z15" i="1"/>
  <c r="M24" i="2"/>
  <c r="AF24" i="2"/>
  <c r="S15" i="2"/>
  <c r="M56" i="2"/>
  <c r="S56" i="2"/>
  <c r="AM15" i="2"/>
  <c r="AS15" i="2"/>
  <c r="M15" i="2"/>
  <c r="AF15" i="2"/>
  <c r="Z56" i="2"/>
  <c r="AS56" i="2"/>
  <c r="AF56" i="2"/>
  <c r="AF33" i="2"/>
  <c r="S33" i="2"/>
  <c r="AM33" i="2"/>
  <c r="Z33" i="2"/>
  <c r="AS33" i="2"/>
  <c r="S36" i="2"/>
  <c r="Z36" i="2"/>
  <c r="AM36" i="2"/>
  <c r="AS36" i="2"/>
  <c r="M36" i="2"/>
  <c r="AF36" i="2"/>
  <c r="S41" i="2"/>
  <c r="Z41" i="2"/>
  <c r="AM41" i="2"/>
  <c r="AS41" i="2"/>
  <c r="M41" i="2"/>
  <c r="AF41" i="2"/>
  <c r="M33" i="2"/>
  <c r="Q35" i="2"/>
  <c r="Q55" i="2"/>
  <c r="Q19" i="2"/>
  <c r="Q30" i="2"/>
  <c r="Q53" i="2"/>
  <c r="Q10" i="2"/>
  <c r="Q7" i="2"/>
  <c r="Q26" i="2"/>
  <c r="Q3" i="2"/>
  <c r="Y19" i="2"/>
  <c r="K19" i="2"/>
  <c r="L19" i="2"/>
  <c r="R19" i="2"/>
  <c r="X19" i="2"/>
  <c r="AD19" i="2"/>
  <c r="AE19" i="2"/>
  <c r="AK19" i="2"/>
  <c r="AL19" i="2"/>
  <c r="AP19" i="2"/>
  <c r="AQ19" i="2"/>
  <c r="AR19" i="2"/>
  <c r="AT19" i="2"/>
  <c r="Y35" i="2"/>
  <c r="J35" i="2"/>
  <c r="K35" i="2"/>
  <c r="L35" i="2"/>
  <c r="N35" i="2"/>
  <c r="P35" i="2"/>
  <c r="R35" i="2"/>
  <c r="T35" i="2"/>
  <c r="X35" i="2"/>
  <c r="AD35" i="2"/>
  <c r="AE35" i="2"/>
  <c r="AJ35" i="2"/>
  <c r="AK35" i="2"/>
  <c r="AL35" i="2"/>
  <c r="AN35" i="2"/>
  <c r="AQ35" i="2"/>
  <c r="AR35" i="2"/>
  <c r="Y30" i="2"/>
  <c r="J30" i="2"/>
  <c r="K30" i="2"/>
  <c r="L30" i="2"/>
  <c r="N30" i="2"/>
  <c r="P30" i="2"/>
  <c r="R30" i="2"/>
  <c r="T30" i="2"/>
  <c r="X30" i="2"/>
  <c r="AC30" i="2"/>
  <c r="AD30" i="2"/>
  <c r="AE30" i="2"/>
  <c r="AG30" i="2"/>
  <c r="AK30" i="2"/>
  <c r="AL30" i="2"/>
  <c r="AQ30" i="2"/>
  <c r="AR30" i="2"/>
  <c r="Y53" i="2"/>
  <c r="J53" i="2"/>
  <c r="K53" i="2"/>
  <c r="L53" i="2"/>
  <c r="N53" i="2"/>
  <c r="P53" i="2"/>
  <c r="R53" i="2"/>
  <c r="T53" i="2"/>
  <c r="X53" i="2"/>
  <c r="AD53" i="2"/>
  <c r="AJ53" i="2"/>
  <c r="AK53" i="2"/>
  <c r="AL53" i="2"/>
  <c r="AN53" i="2"/>
  <c r="AP53" i="2"/>
  <c r="AQ53" i="2"/>
  <c r="AR53" i="2"/>
  <c r="AT53" i="2"/>
  <c r="Y10" i="2"/>
  <c r="K10" i="2"/>
  <c r="L10" i="2"/>
  <c r="P10" i="2"/>
  <c r="R10" i="2"/>
  <c r="T10" i="2"/>
  <c r="X10" i="2"/>
  <c r="AD10" i="2"/>
  <c r="AK10" i="2"/>
  <c r="AL10" i="2"/>
  <c r="AQ10" i="2"/>
  <c r="AR10" i="2"/>
  <c r="Y3" i="2"/>
  <c r="K3" i="2"/>
  <c r="L3" i="2"/>
  <c r="R3" i="2"/>
  <c r="X3" i="2"/>
  <c r="AD3" i="2"/>
  <c r="AK3" i="2"/>
  <c r="AL3" i="2"/>
  <c r="AQ3" i="2"/>
  <c r="AR3" i="2"/>
  <c r="Y26" i="2"/>
  <c r="J26" i="2"/>
  <c r="K26" i="2"/>
  <c r="L26" i="2"/>
  <c r="N26" i="2"/>
  <c r="P26" i="2"/>
  <c r="R26" i="2"/>
  <c r="T26" i="2"/>
  <c r="X26" i="2"/>
  <c r="AD26" i="2"/>
  <c r="AK26" i="2"/>
  <c r="AL26" i="2"/>
  <c r="AQ26" i="2"/>
  <c r="AR26" i="2"/>
  <c r="AR4" i="2"/>
  <c r="AR31" i="2"/>
  <c r="AR48" i="2"/>
  <c r="AR7" i="2"/>
  <c r="AR51" i="2"/>
  <c r="AR52" i="2"/>
  <c r="AR40" i="2"/>
  <c r="AR55" i="2"/>
  <c r="AR14" i="2"/>
  <c r="AL31" i="2"/>
  <c r="AL48" i="2"/>
  <c r="AL6" i="2"/>
  <c r="AL52" i="2"/>
  <c r="AL40" i="2"/>
  <c r="AL55" i="2"/>
  <c r="AL13" i="2"/>
  <c r="AE23" i="2"/>
  <c r="AE31" i="2"/>
  <c r="AE48" i="2"/>
  <c r="AE6" i="2"/>
  <c r="AE51" i="2"/>
  <c r="AE52" i="2"/>
  <c r="AE40" i="2"/>
  <c r="AE55" i="2"/>
  <c r="AE13" i="2"/>
  <c r="Y4" i="2"/>
  <c r="Y23" i="2"/>
  <c r="Y31" i="2"/>
  <c r="Y48" i="2"/>
  <c r="Y7" i="2"/>
  <c r="Y51" i="2"/>
  <c r="Y52" i="2"/>
  <c r="Y40" i="2"/>
  <c r="Y55" i="2"/>
  <c r="Y14" i="2"/>
  <c r="R23" i="2"/>
  <c r="R7" i="2"/>
  <c r="R40" i="2"/>
  <c r="R55" i="2"/>
  <c r="R13" i="2"/>
  <c r="L31" i="2"/>
  <c r="L6" i="2"/>
  <c r="L14" i="2"/>
  <c r="Y3" i="1"/>
  <c r="J3" i="1"/>
  <c r="K3" i="1"/>
  <c r="N3" i="1"/>
  <c r="P3" i="1"/>
  <c r="R3" i="1"/>
  <c r="T3" i="1"/>
  <c r="X3" i="1"/>
  <c r="AD3" i="1"/>
  <c r="AE3" i="1"/>
  <c r="AJ3" i="1"/>
  <c r="AK3" i="1"/>
  <c r="AL3" i="1"/>
  <c r="AN3" i="1"/>
  <c r="AQ3" i="1"/>
  <c r="AR3" i="1"/>
  <c r="Y10" i="1"/>
  <c r="K10" i="1"/>
  <c r="P10" i="1"/>
  <c r="R10" i="1"/>
  <c r="T10" i="1"/>
  <c r="X10" i="1"/>
  <c r="AD10" i="1"/>
  <c r="AJ10" i="1"/>
  <c r="AK10" i="1"/>
  <c r="AL10" i="1"/>
  <c r="AN10" i="1"/>
  <c r="AQ10" i="1"/>
  <c r="AR12" i="1"/>
  <c r="AL5" i="1"/>
  <c r="AL12" i="1"/>
  <c r="AL8" i="1"/>
  <c r="AE8" i="1"/>
  <c r="R5" i="1"/>
  <c r="R8" i="1"/>
  <c r="U15" i="1" l="1"/>
  <c r="U13" i="1"/>
  <c r="AH15" i="2"/>
  <c r="AR10" i="1"/>
  <c r="AS10" i="1" s="1"/>
  <c r="U24" i="2"/>
  <c r="U56" i="2"/>
  <c r="AH13" i="1"/>
  <c r="AH15" i="1"/>
  <c r="AE10" i="1"/>
  <c r="AF10" i="1" s="1"/>
  <c r="AM3" i="1"/>
  <c r="AH24" i="2"/>
  <c r="U15" i="2"/>
  <c r="U36" i="2"/>
  <c r="AH33" i="2"/>
  <c r="U33" i="2"/>
  <c r="AH56" i="2"/>
  <c r="AE53" i="2"/>
  <c r="AF53" i="2" s="1"/>
  <c r="U41" i="2"/>
  <c r="AH36" i="2"/>
  <c r="AE10" i="2"/>
  <c r="AF10" i="2" s="1"/>
  <c r="AH41" i="2"/>
  <c r="AE26" i="2"/>
  <c r="AF26" i="2" s="1"/>
  <c r="AE3" i="2"/>
  <c r="AF3" i="2" s="1"/>
  <c r="AM19" i="2"/>
  <c r="AU35" i="2" s="1"/>
  <c r="S19" i="2"/>
  <c r="S30" i="2"/>
  <c r="AS19" i="2"/>
  <c r="AS35" i="2"/>
  <c r="AM53" i="2"/>
  <c r="Z53" i="2"/>
  <c r="S35" i="2"/>
  <c r="AF19" i="2"/>
  <c r="Z19" i="2"/>
  <c r="M19" i="2"/>
  <c r="S53" i="2"/>
  <c r="AM30" i="2"/>
  <c r="AM35" i="2"/>
  <c r="AF35" i="2"/>
  <c r="Z35" i="2"/>
  <c r="M35" i="2"/>
  <c r="M53" i="2"/>
  <c r="AS53" i="2"/>
  <c r="AS30" i="2"/>
  <c r="AF30" i="2"/>
  <c r="Z30" i="2"/>
  <c r="M30" i="2"/>
  <c r="S10" i="2"/>
  <c r="AM10" i="2"/>
  <c r="S3" i="2"/>
  <c r="M10" i="2"/>
  <c r="AS10" i="2"/>
  <c r="Z10" i="2"/>
  <c r="AM3" i="2"/>
  <c r="M3" i="2"/>
  <c r="AS3" i="2"/>
  <c r="Z3" i="2"/>
  <c r="S26" i="2"/>
  <c r="AM26" i="2"/>
  <c r="AS26" i="2"/>
  <c r="Z26" i="2"/>
  <c r="M26" i="2"/>
  <c r="S3" i="1"/>
  <c r="AM10" i="1"/>
  <c r="S10" i="1"/>
  <c r="M3" i="1"/>
  <c r="AS3" i="1"/>
  <c r="AF3" i="1"/>
  <c r="Z3" i="1"/>
  <c r="Z10" i="1"/>
  <c r="M10" i="1"/>
  <c r="AQ14" i="2"/>
  <c r="AK14" i="2"/>
  <c r="AD14" i="2"/>
  <c r="X14" i="2"/>
  <c r="Q14" i="2"/>
  <c r="N14" i="2"/>
  <c r="K14" i="2"/>
  <c r="J14" i="2"/>
  <c r="AL14" i="2"/>
  <c r="AQ6" i="2"/>
  <c r="AN6" i="2"/>
  <c r="AK6" i="2"/>
  <c r="AJ6" i="2"/>
  <c r="AD6" i="2"/>
  <c r="X6" i="2"/>
  <c r="Q6" i="2"/>
  <c r="K6" i="2"/>
  <c r="AR6" i="2"/>
  <c r="U10" i="1" l="1"/>
  <c r="R14" i="2"/>
  <c r="S14" i="2" s="1"/>
  <c r="AE14" i="2"/>
  <c r="AF14" i="2" s="1"/>
  <c r="U35" i="2"/>
  <c r="G35" i="2" s="1"/>
  <c r="U53" i="2"/>
  <c r="U3" i="2"/>
  <c r="U19" i="2"/>
  <c r="U30" i="2"/>
  <c r="AH53" i="2"/>
  <c r="AH19" i="2"/>
  <c r="R6" i="2"/>
  <c r="S6" i="2" s="1"/>
  <c r="Y6" i="2"/>
  <c r="Z6" i="2" s="1"/>
  <c r="U10" i="2"/>
  <c r="AH35" i="2"/>
  <c r="AH30" i="2"/>
  <c r="AH10" i="2"/>
  <c r="AH3" i="2"/>
  <c r="U26" i="2"/>
  <c r="AH26" i="2"/>
  <c r="U3" i="1"/>
  <c r="AH3" i="1"/>
  <c r="AH10" i="1"/>
  <c r="AM6" i="2"/>
  <c r="M14" i="2"/>
  <c r="Z14" i="2"/>
  <c r="AM14" i="2"/>
  <c r="AS14" i="2"/>
  <c r="AF6" i="2"/>
  <c r="AS6" i="2"/>
  <c r="M6" i="2"/>
  <c r="AH14" i="2" l="1"/>
  <c r="AH6" i="2"/>
  <c r="U14" i="2"/>
  <c r="U6" i="2"/>
  <c r="AQ31" i="2" l="1"/>
  <c r="AK31" i="2"/>
  <c r="AD31" i="2"/>
  <c r="X31" i="2"/>
  <c r="Q31" i="2"/>
  <c r="K31" i="2"/>
  <c r="R31" i="2"/>
  <c r="AM31" i="2" l="1"/>
  <c r="M31" i="2"/>
  <c r="Z31" i="2"/>
  <c r="AF31" i="2"/>
  <c r="AS31" i="2"/>
  <c r="S31" i="2"/>
  <c r="AT48" i="2"/>
  <c r="AQ48" i="2"/>
  <c r="AP48" i="2"/>
  <c r="AN48" i="2"/>
  <c r="AK48" i="2"/>
  <c r="AJ48" i="2"/>
  <c r="AG48" i="2"/>
  <c r="AD48" i="2"/>
  <c r="AC48" i="2"/>
  <c r="AA48" i="2"/>
  <c r="X48" i="2"/>
  <c r="W48" i="2"/>
  <c r="Q48" i="2"/>
  <c r="K48" i="2"/>
  <c r="R48" i="2" l="1"/>
  <c r="S48" i="2" s="1"/>
  <c r="L48" i="2"/>
  <c r="M48" i="2" s="1"/>
  <c r="AM48" i="2"/>
  <c r="AH31" i="2"/>
  <c r="U31" i="2"/>
  <c r="Z48" i="2"/>
  <c r="AF48" i="2"/>
  <c r="AS48" i="2"/>
  <c r="AH48" i="2" l="1"/>
  <c r="U48" i="2"/>
  <c r="AQ13" i="2"/>
  <c r="AK13" i="2"/>
  <c r="AG13" i="2"/>
  <c r="AD13" i="2"/>
  <c r="AC43" i="2" s="1"/>
  <c r="AC13" i="2"/>
  <c r="X13" i="2"/>
  <c r="Q13" i="2"/>
  <c r="K13" i="2"/>
  <c r="AR13" i="2"/>
  <c r="AT55" i="2"/>
  <c r="AQ55" i="2"/>
  <c r="AP55" i="2"/>
  <c r="AN55" i="2"/>
  <c r="AK55" i="2"/>
  <c r="AJ55" i="2"/>
  <c r="AG55" i="2"/>
  <c r="AD55" i="2"/>
  <c r="AC55" i="2"/>
  <c r="AA55" i="2"/>
  <c r="X55" i="2"/>
  <c r="W55" i="2"/>
  <c r="T55" i="2"/>
  <c r="P55" i="2"/>
  <c r="K55" i="2"/>
  <c r="L55" i="2"/>
  <c r="AT40" i="2"/>
  <c r="AQ40" i="2"/>
  <c r="AP40" i="2"/>
  <c r="AK40" i="2"/>
  <c r="AG40" i="2"/>
  <c r="AD40" i="2"/>
  <c r="AC40" i="2"/>
  <c r="X40" i="2"/>
  <c r="T40" i="2"/>
  <c r="Q40" i="2"/>
  <c r="P40" i="2"/>
  <c r="K40" i="2"/>
  <c r="L40" i="2"/>
  <c r="AT52" i="2"/>
  <c r="AQ52" i="2"/>
  <c r="AP52" i="2"/>
  <c r="AK52" i="2"/>
  <c r="AG52" i="2"/>
  <c r="AD52" i="2"/>
  <c r="AC52" i="2"/>
  <c r="AA52" i="2"/>
  <c r="X52" i="2"/>
  <c r="W52" i="2"/>
  <c r="Q52" i="2"/>
  <c r="K52" i="2"/>
  <c r="AT51" i="2"/>
  <c r="AQ51" i="2"/>
  <c r="AP51" i="2"/>
  <c r="AK51" i="2"/>
  <c r="AG51" i="2"/>
  <c r="AD51" i="2"/>
  <c r="AC51" i="2"/>
  <c r="AA51" i="2"/>
  <c r="X51" i="2"/>
  <c r="W51" i="2"/>
  <c r="Q51" i="2"/>
  <c r="K51" i="2"/>
  <c r="AL51" i="2"/>
  <c r="AT7" i="2"/>
  <c r="AQ7" i="2"/>
  <c r="AP7" i="2"/>
  <c r="AK7" i="2"/>
  <c r="AD7" i="2"/>
  <c r="X7" i="2"/>
  <c r="K7" i="2"/>
  <c r="AL7" i="2"/>
  <c r="AQ4" i="2"/>
  <c r="AP4" i="2"/>
  <c r="AK4" i="2"/>
  <c r="AD4" i="2"/>
  <c r="X4" i="2"/>
  <c r="Q4" i="2"/>
  <c r="K4" i="2"/>
  <c r="AQ23" i="2"/>
  <c r="AK23" i="2"/>
  <c r="AG23" i="2"/>
  <c r="AD23" i="2"/>
  <c r="AC23" i="2"/>
  <c r="AA23" i="2"/>
  <c r="X23" i="2"/>
  <c r="W23" i="2"/>
  <c r="T23" i="2"/>
  <c r="Q23" i="2"/>
  <c r="P23" i="2"/>
  <c r="K23" i="2"/>
  <c r="AL23" i="2"/>
  <c r="AP44" i="2" l="1"/>
  <c r="AC38" i="2"/>
  <c r="AC5" i="2"/>
  <c r="AP17" i="2"/>
  <c r="AP46" i="2"/>
  <c r="AP27" i="2"/>
  <c r="AP42" i="2"/>
  <c r="AP35" i="2"/>
  <c r="AP37" i="2"/>
  <c r="AP30" i="2"/>
  <c r="AP12" i="2"/>
  <c r="AP29" i="2"/>
  <c r="AP34" i="2"/>
  <c r="AP5" i="2"/>
  <c r="AP11" i="2"/>
  <c r="AP28" i="2"/>
  <c r="AP3" i="2"/>
  <c r="AP10" i="2"/>
  <c r="AJ42" i="2"/>
  <c r="AJ50" i="2"/>
  <c r="AJ40" i="2"/>
  <c r="AJ5" i="2"/>
  <c r="AJ41" i="2"/>
  <c r="W47" i="2"/>
  <c r="W17" i="2"/>
  <c r="W43" i="2"/>
  <c r="W12" i="2"/>
  <c r="W15" i="2"/>
  <c r="W24" i="2"/>
  <c r="P18" i="2"/>
  <c r="P56" i="2"/>
  <c r="P5" i="2"/>
  <c r="J19" i="2"/>
  <c r="J3" i="2"/>
  <c r="AJ13" i="2"/>
  <c r="AJ18" i="2"/>
  <c r="AJ30" i="2"/>
  <c r="AJ24" i="2"/>
  <c r="AJ11" i="2"/>
  <c r="AJ3" i="2"/>
  <c r="AP25" i="2"/>
  <c r="W45" i="2"/>
  <c r="W25" i="2"/>
  <c r="W49" i="2"/>
  <c r="W39" i="2"/>
  <c r="W20" i="2"/>
  <c r="J5" i="2"/>
  <c r="P45" i="2"/>
  <c r="P25" i="2"/>
  <c r="P15" i="2"/>
  <c r="J45" i="2"/>
  <c r="AC18" i="2"/>
  <c r="AC11" i="2"/>
  <c r="AC19" i="2"/>
  <c r="AC9" i="2"/>
  <c r="AJ19" i="2"/>
  <c r="AJ45" i="2"/>
  <c r="AJ39" i="2"/>
  <c r="AJ27" i="2"/>
  <c r="AJ9" i="2"/>
  <c r="AJ8" i="2"/>
  <c r="AJ22" i="2"/>
  <c r="AP33" i="2"/>
  <c r="AP39" i="2"/>
  <c r="AP15" i="2"/>
  <c r="AP18" i="2"/>
  <c r="AP14" i="2"/>
  <c r="AP16" i="2"/>
  <c r="AP9" i="2"/>
  <c r="W18" i="2"/>
  <c r="W8" i="2"/>
  <c r="W40" i="2"/>
  <c r="W16" i="2"/>
  <c r="W11" i="2"/>
  <c r="W9" i="2"/>
  <c r="J56" i="2"/>
  <c r="W21" i="2"/>
  <c r="P21" i="2"/>
  <c r="J18" i="2"/>
  <c r="J8" i="2"/>
  <c r="J10" i="2"/>
  <c r="J16" i="2"/>
  <c r="J12" i="2"/>
  <c r="J15" i="2"/>
  <c r="J17" i="2"/>
  <c r="AC54" i="2"/>
  <c r="AC45" i="2"/>
  <c r="AC20" i="2"/>
  <c r="AC47" i="2"/>
  <c r="AJ54" i="2"/>
  <c r="AJ33" i="2"/>
  <c r="AJ31" i="2"/>
  <c r="AP45" i="2"/>
  <c r="AP8" i="2"/>
  <c r="AP54" i="2"/>
  <c r="W14" i="2"/>
  <c r="W36" i="2"/>
  <c r="W7" i="2"/>
  <c r="W54" i="2"/>
  <c r="W31" i="2"/>
  <c r="P19" i="2"/>
  <c r="P32" i="2"/>
  <c r="J6" i="2"/>
  <c r="J21" i="2"/>
  <c r="J31" i="2"/>
  <c r="AC35" i="2"/>
  <c r="AC6" i="2"/>
  <c r="AC32" i="2"/>
  <c r="AC22" i="2"/>
  <c r="AC31" i="2"/>
  <c r="AJ49" i="2"/>
  <c r="AJ52" i="2"/>
  <c r="AJ26" i="2"/>
  <c r="AJ36" i="2"/>
  <c r="AJ10" i="2"/>
  <c r="AP56" i="2"/>
  <c r="AP36" i="2"/>
  <c r="AP26" i="2"/>
  <c r="AP41" i="2"/>
  <c r="AP47" i="2"/>
  <c r="AP31" i="2"/>
  <c r="AP22" i="2"/>
  <c r="W4" i="2"/>
  <c r="W32" i="2"/>
  <c r="W41" i="2"/>
  <c r="P7" i="2"/>
  <c r="P38" i="2"/>
  <c r="P13" i="2"/>
  <c r="P3" i="2"/>
  <c r="P41" i="2"/>
  <c r="AJ20" i="2"/>
  <c r="J20" i="2"/>
  <c r="AE4" i="2"/>
  <c r="AF4" i="2" s="1"/>
  <c r="AL4" i="2"/>
  <c r="AM4" i="2" s="1"/>
  <c r="AJ56" i="2"/>
  <c r="AJ51" i="2"/>
  <c r="AJ4" i="2"/>
  <c r="AJ43" i="2"/>
  <c r="AJ7" i="2"/>
  <c r="AJ32" i="2"/>
  <c r="AJ14" i="2"/>
  <c r="AJ23" i="2"/>
  <c r="AP32" i="2"/>
  <c r="AP13" i="2"/>
  <c r="AP43" i="2"/>
  <c r="AP38" i="2"/>
  <c r="L23" i="2"/>
  <c r="M23" i="2" s="1"/>
  <c r="AR23" i="2"/>
  <c r="AS23" i="2" s="1"/>
  <c r="AP6" i="2"/>
  <c r="AP23" i="2"/>
  <c r="AC24" i="2"/>
  <c r="AC15" i="2"/>
  <c r="AC56" i="2"/>
  <c r="AC4" i="2"/>
  <c r="AC14" i="2"/>
  <c r="AC53" i="2"/>
  <c r="AC36" i="2"/>
  <c r="AC10" i="2"/>
  <c r="AC41" i="2"/>
  <c r="J33" i="2"/>
  <c r="AC7" i="2"/>
  <c r="L7" i="2"/>
  <c r="M7" i="2" s="1"/>
  <c r="AE7" i="2"/>
  <c r="AF7" i="2" s="1"/>
  <c r="AC3" i="2"/>
  <c r="AC26" i="2"/>
  <c r="W19" i="2"/>
  <c r="W35" i="2"/>
  <c r="W6" i="2"/>
  <c r="L13" i="2"/>
  <c r="M13" i="2" s="1"/>
  <c r="Y13" i="2"/>
  <c r="Z13" i="2" s="1"/>
  <c r="W13" i="2"/>
  <c r="W30" i="2"/>
  <c r="W53" i="2"/>
  <c r="W10" i="2"/>
  <c r="W3" i="2"/>
  <c r="W26" i="2"/>
  <c r="L52" i="2"/>
  <c r="M52" i="2" s="1"/>
  <c r="R52" i="2"/>
  <c r="S52" i="2" s="1"/>
  <c r="R4" i="2"/>
  <c r="S4" i="2" s="1"/>
  <c r="L4" i="2"/>
  <c r="M4" i="2" s="1"/>
  <c r="R51" i="2"/>
  <c r="S51" i="2" s="1"/>
  <c r="L51" i="2"/>
  <c r="M51" i="2" s="1"/>
  <c r="P14" i="2"/>
  <c r="AF52" i="2"/>
  <c r="AM52" i="2"/>
  <c r="AF55" i="2"/>
  <c r="AM55" i="2"/>
  <c r="AU55" i="2" s="1"/>
  <c r="P6" i="2"/>
  <c r="P51" i="2"/>
  <c r="P31" i="2"/>
  <c r="P52" i="2"/>
  <c r="AM51" i="2"/>
  <c r="S55" i="2"/>
  <c r="S40" i="2"/>
  <c r="P48" i="2"/>
  <c r="S23" i="2"/>
  <c r="AF23" i="2"/>
  <c r="AM23" i="2"/>
  <c r="AF40" i="2"/>
  <c r="AM40" i="2"/>
  <c r="P4" i="2"/>
  <c r="J48" i="2"/>
  <c r="AS55" i="2"/>
  <c r="S13" i="2"/>
  <c r="S7" i="2"/>
  <c r="AM7" i="2"/>
  <c r="AF51" i="2"/>
  <c r="Z4" i="2"/>
  <c r="AS51" i="2"/>
  <c r="AF13" i="2"/>
  <c r="AG43" i="2" s="1"/>
  <c r="AM13" i="2"/>
  <c r="AS13" i="2"/>
  <c r="J51" i="2"/>
  <c r="Z23" i="2"/>
  <c r="Z7" i="2"/>
  <c r="Z40" i="2"/>
  <c r="J55" i="2"/>
  <c r="AS4" i="2"/>
  <c r="J7" i="2"/>
  <c r="AS7" i="2"/>
  <c r="Z52" i="2"/>
  <c r="J40" i="2"/>
  <c r="AS40" i="2"/>
  <c r="J13" i="2"/>
  <c r="J4" i="2"/>
  <c r="J23" i="2"/>
  <c r="Z51" i="2"/>
  <c r="J52" i="2"/>
  <c r="AS52" i="2"/>
  <c r="Z55" i="2"/>
  <c r="M40" i="2"/>
  <c r="M55" i="2"/>
  <c r="AU51" i="2" l="1"/>
  <c r="AG5" i="2"/>
  <c r="AG38" i="2"/>
  <c r="AU49" i="2"/>
  <c r="G49" i="2" s="1"/>
  <c r="AT44" i="2"/>
  <c r="AT46" i="2"/>
  <c r="AT42" i="2"/>
  <c r="AT17" i="2"/>
  <c r="AT37" i="2"/>
  <c r="AT35" i="2"/>
  <c r="AT12" i="2"/>
  <c r="AT30" i="2"/>
  <c r="AT34" i="2"/>
  <c r="AT29" i="2"/>
  <c r="AT11" i="2"/>
  <c r="AT5" i="2"/>
  <c r="AT28" i="2"/>
  <c r="AU37" i="2"/>
  <c r="G37" i="2" s="1"/>
  <c r="AT10" i="2"/>
  <c r="AT3" i="2"/>
  <c r="AU43" i="2"/>
  <c r="G43" i="2" s="1"/>
  <c r="AN42" i="2"/>
  <c r="AN50" i="2"/>
  <c r="AN41" i="2"/>
  <c r="AN40" i="2"/>
  <c r="AN5" i="2"/>
  <c r="AA47" i="2"/>
  <c r="AA17" i="2"/>
  <c r="AA43" i="2"/>
  <c r="AA12" i="2"/>
  <c r="AA15" i="2"/>
  <c r="AA24" i="2"/>
  <c r="T18" i="2"/>
  <c r="T56" i="2"/>
  <c r="T5" i="2"/>
  <c r="N19" i="2"/>
  <c r="N3" i="2"/>
  <c r="AN13" i="2"/>
  <c r="AN30" i="2"/>
  <c r="AN18" i="2"/>
  <c r="AN24" i="2"/>
  <c r="AN11" i="2"/>
  <c r="AN3" i="2"/>
  <c r="AT25" i="2"/>
  <c r="AA45" i="2"/>
  <c r="AA25" i="2"/>
  <c r="AA49" i="2"/>
  <c r="AA20" i="2"/>
  <c r="AA39" i="2"/>
  <c r="AU25" i="2"/>
  <c r="G25" i="2" s="1"/>
  <c r="N5" i="2"/>
  <c r="AU32" i="2"/>
  <c r="G32" i="2" s="1"/>
  <c r="AU45" i="2"/>
  <c r="G45" i="2" s="1"/>
  <c r="T25" i="2"/>
  <c r="T45" i="2"/>
  <c r="T15" i="2"/>
  <c r="N45" i="2"/>
  <c r="AG18" i="2"/>
  <c r="AG11" i="2"/>
  <c r="AG19" i="2"/>
  <c r="AG9" i="2"/>
  <c r="AN19" i="2"/>
  <c r="AN45" i="2"/>
  <c r="AN39" i="2"/>
  <c r="AN27" i="2"/>
  <c r="AN9" i="2"/>
  <c r="AN8" i="2"/>
  <c r="AN22" i="2"/>
  <c r="AT33" i="2"/>
  <c r="AT39" i="2"/>
  <c r="AT15" i="2"/>
  <c r="AT18" i="2"/>
  <c r="AT14" i="2"/>
  <c r="AT27" i="2"/>
  <c r="AT9" i="2"/>
  <c r="AT16" i="2"/>
  <c r="AU34" i="2"/>
  <c r="G34" i="2" s="1"/>
  <c r="AA8" i="2"/>
  <c r="AA18" i="2"/>
  <c r="AA16" i="2"/>
  <c r="AA11" i="2"/>
  <c r="AA9" i="2"/>
  <c r="AA40" i="2"/>
  <c r="AA21" i="2"/>
  <c r="T21" i="2"/>
  <c r="AU26" i="2"/>
  <c r="G26" i="2" s="1"/>
  <c r="N56" i="2"/>
  <c r="N8" i="2"/>
  <c r="N18" i="2"/>
  <c r="AU22" i="2"/>
  <c r="G22" i="2" s="1"/>
  <c r="N10" i="2"/>
  <c r="N16" i="2"/>
  <c r="N12" i="2"/>
  <c r="N15" i="2"/>
  <c r="N17" i="2"/>
  <c r="AU39" i="2"/>
  <c r="G39" i="2" s="1"/>
  <c r="AU48" i="2"/>
  <c r="G48" i="2" s="1"/>
  <c r="AU24" i="2"/>
  <c r="G24" i="2" s="1"/>
  <c r="AG54" i="2"/>
  <c r="AG45" i="2"/>
  <c r="AG20" i="2"/>
  <c r="AG47" i="2"/>
  <c r="AU14" i="2"/>
  <c r="G14" i="2" s="1"/>
  <c r="AU47" i="2"/>
  <c r="G47" i="2" s="1"/>
  <c r="AN54" i="2"/>
  <c r="AN33" i="2"/>
  <c r="AN31" i="2"/>
  <c r="AT8" i="2"/>
  <c r="AT45" i="2"/>
  <c r="AT54" i="2"/>
  <c r="AU23" i="2"/>
  <c r="AA14" i="2"/>
  <c r="AA36" i="2"/>
  <c r="AA7" i="2"/>
  <c r="AA54" i="2"/>
  <c r="AA31" i="2"/>
  <c r="AU44" i="2"/>
  <c r="G44" i="2" s="1"/>
  <c r="AU46" i="2"/>
  <c r="G46" i="2" s="1"/>
  <c r="AU30" i="2"/>
  <c r="G30" i="2" s="1"/>
  <c r="T32" i="2"/>
  <c r="T19" i="2"/>
  <c r="AU38" i="2"/>
  <c r="G38" i="2" s="1"/>
  <c r="N6" i="2"/>
  <c r="N31" i="2"/>
  <c r="N21" i="2"/>
  <c r="AU56" i="2"/>
  <c r="G56" i="2" s="1"/>
  <c r="AG35" i="2"/>
  <c r="AG6" i="2"/>
  <c r="AG32" i="2"/>
  <c r="AG22" i="2"/>
  <c r="AG31" i="2"/>
  <c r="AU52" i="2"/>
  <c r="AU54" i="2"/>
  <c r="G54" i="2" s="1"/>
  <c r="AN49" i="2"/>
  <c r="AN52" i="2"/>
  <c r="AN26" i="2"/>
  <c r="AN10" i="2"/>
  <c r="AN36" i="2"/>
  <c r="AU21" i="2"/>
  <c r="G21" i="2" s="1"/>
  <c r="AT56" i="2"/>
  <c r="AU41" i="2"/>
  <c r="G41" i="2" s="1"/>
  <c r="AT26" i="2"/>
  <c r="AT36" i="2"/>
  <c r="AT41" i="2"/>
  <c r="AT47" i="2"/>
  <c r="AT31" i="2"/>
  <c r="AU29" i="2"/>
  <c r="G29" i="2" s="1"/>
  <c r="AT22" i="2"/>
  <c r="AU33" i="2"/>
  <c r="G33" i="2" s="1"/>
  <c r="AU31" i="2"/>
  <c r="G31" i="2" s="1"/>
  <c r="AA4" i="2"/>
  <c r="AA32" i="2"/>
  <c r="AA41" i="2"/>
  <c r="T38" i="2"/>
  <c r="T13" i="2"/>
  <c r="T7" i="2"/>
  <c r="T3" i="2"/>
  <c r="T41" i="2"/>
  <c r="AU50" i="2"/>
  <c r="G50" i="2" s="1"/>
  <c r="AN20" i="2"/>
  <c r="N20" i="2"/>
  <c r="AU40" i="2"/>
  <c r="AN56" i="2"/>
  <c r="AN51" i="2"/>
  <c r="AN43" i="2"/>
  <c r="AN7" i="2"/>
  <c r="AN4" i="2"/>
  <c r="AN32" i="2"/>
  <c r="AN14" i="2"/>
  <c r="AU6" i="2"/>
  <c r="G6" i="2" s="1"/>
  <c r="AN23" i="2"/>
  <c r="AU36" i="2"/>
  <c r="G36" i="2" s="1"/>
  <c r="AT32" i="2"/>
  <c r="AT13" i="2"/>
  <c r="AT43" i="2"/>
  <c r="AU27" i="2"/>
  <c r="G27" i="2" s="1"/>
  <c r="AU53" i="2"/>
  <c r="G53" i="2" s="1"/>
  <c r="AT38" i="2"/>
  <c r="AU28" i="2"/>
  <c r="G28" i="2" s="1"/>
  <c r="AT6" i="2"/>
  <c r="AT23" i="2"/>
  <c r="AT4" i="2"/>
  <c r="AG15" i="2"/>
  <c r="AG24" i="2"/>
  <c r="AG56" i="2"/>
  <c r="AG14" i="2"/>
  <c r="AG53" i="2"/>
  <c r="AG4" i="2"/>
  <c r="AG10" i="2"/>
  <c r="AG36" i="2"/>
  <c r="AG41" i="2"/>
  <c r="N33" i="2"/>
  <c r="AG7" i="2"/>
  <c r="AG26" i="2"/>
  <c r="AG3" i="2"/>
  <c r="AU8" i="2"/>
  <c r="G8" i="2" s="1"/>
  <c r="AA19" i="2"/>
  <c r="AA35" i="2"/>
  <c r="AA6" i="2"/>
  <c r="AA13" i="2"/>
  <c r="AA30" i="2"/>
  <c r="AA53" i="2"/>
  <c r="AA10" i="2"/>
  <c r="AA3" i="2"/>
  <c r="AA26" i="2"/>
  <c r="AU15" i="2"/>
  <c r="G15" i="2" s="1"/>
  <c r="AH55" i="2"/>
  <c r="AH52" i="2"/>
  <c r="U52" i="2"/>
  <c r="AU7" i="2"/>
  <c r="AU9" i="2"/>
  <c r="G9" i="2" s="1"/>
  <c r="AH40" i="2"/>
  <c r="AU13" i="2"/>
  <c r="T14" i="2"/>
  <c r="AH23" i="2"/>
  <c r="AU17" i="2"/>
  <c r="G17" i="2" s="1"/>
  <c r="T6" i="2"/>
  <c r="AH7" i="2"/>
  <c r="AU19" i="2"/>
  <c r="G19" i="2" s="1"/>
  <c r="AU18" i="2"/>
  <c r="G18" i="2" s="1"/>
  <c r="T51" i="2"/>
  <c r="T52" i="2"/>
  <c r="T31" i="2"/>
  <c r="U55" i="2"/>
  <c r="G55" i="2" s="1"/>
  <c r="U40" i="2"/>
  <c r="AU20" i="2"/>
  <c r="G20" i="2" s="1"/>
  <c r="T48" i="2"/>
  <c r="AU16" i="2"/>
  <c r="G16" i="2" s="1"/>
  <c r="AH51" i="2"/>
  <c r="AU3" i="2"/>
  <c r="AU5" i="2"/>
  <c r="G5" i="2" s="1"/>
  <c r="T4" i="2"/>
  <c r="N48" i="2"/>
  <c r="AU4" i="2"/>
  <c r="AU10" i="2"/>
  <c r="G10" i="2" s="1"/>
  <c r="AH4" i="2"/>
  <c r="U51" i="2"/>
  <c r="G51" i="2" s="1"/>
  <c r="AU12" i="2"/>
  <c r="G12" i="2" s="1"/>
  <c r="U13" i="2"/>
  <c r="G13" i="2" s="1"/>
  <c r="AU11" i="2"/>
  <c r="G11" i="2" s="1"/>
  <c r="AH13" i="2"/>
  <c r="U23" i="2"/>
  <c r="N52" i="2"/>
  <c r="N51" i="2"/>
  <c r="N55" i="2"/>
  <c r="N4" i="2"/>
  <c r="U4" i="2"/>
  <c r="N13" i="2"/>
  <c r="N40" i="2"/>
  <c r="N7" i="2"/>
  <c r="N23" i="2"/>
  <c r="U7" i="2"/>
  <c r="G7" i="2" s="1"/>
  <c r="G4" i="2" l="1"/>
  <c r="G23" i="2"/>
  <c r="G40" i="2"/>
  <c r="G52" i="2"/>
  <c r="G3" i="2"/>
  <c r="H46" i="2" l="1"/>
  <c r="H37" i="2"/>
  <c r="H34" i="2"/>
  <c r="H28" i="2"/>
  <c r="H50" i="2"/>
  <c r="H42" i="2"/>
  <c r="H29" i="2"/>
  <c r="H44" i="2"/>
  <c r="H5" i="2"/>
  <c r="H25" i="2"/>
  <c r="H39" i="2"/>
  <c r="H27" i="2"/>
  <c r="H11" i="2"/>
  <c r="H9" i="2"/>
  <c r="H18" i="2"/>
  <c r="H16" i="2"/>
  <c r="H12" i="2"/>
  <c r="H17" i="2"/>
  <c r="H45" i="2"/>
  <c r="H8" i="2"/>
  <c r="H54" i="2"/>
  <c r="H21" i="2"/>
  <c r="H49" i="2"/>
  <c r="H47" i="2"/>
  <c r="H22" i="2"/>
  <c r="H20" i="2"/>
  <c r="H32" i="2"/>
  <c r="H43" i="2"/>
  <c r="H38" i="2"/>
  <c r="H24" i="2"/>
  <c r="H15" i="2"/>
  <c r="H56" i="2"/>
  <c r="H36" i="2"/>
  <c r="H41" i="2"/>
  <c r="H33" i="2"/>
  <c r="H19" i="2"/>
  <c r="H30" i="2"/>
  <c r="H35" i="2"/>
  <c r="H53" i="2"/>
  <c r="H10" i="2"/>
  <c r="H3" i="2"/>
  <c r="H26" i="2"/>
  <c r="H14" i="2"/>
  <c r="H6" i="2"/>
  <c r="H31" i="2"/>
  <c r="H52" i="2"/>
  <c r="H51" i="2"/>
  <c r="H48" i="2"/>
  <c r="H55" i="2"/>
  <c r="H40" i="2"/>
  <c r="H13" i="2"/>
  <c r="H4" i="2"/>
  <c r="H7" i="2"/>
  <c r="H23" i="2"/>
  <c r="AR8" i="1"/>
  <c r="K5" i="1"/>
  <c r="K8" i="1"/>
  <c r="K12" i="1"/>
  <c r="J6" i="1" l="1"/>
  <c r="J15" i="1"/>
  <c r="J10" i="1"/>
  <c r="J11" i="1"/>
  <c r="AE5" i="1"/>
  <c r="AR5" i="1"/>
  <c r="Y12" i="1"/>
  <c r="AE12" i="1"/>
  <c r="M8" i="1"/>
  <c r="Y8" i="1"/>
  <c r="L5" i="1"/>
  <c r="M5" i="1" s="1"/>
  <c r="Y5" i="1"/>
  <c r="R12" i="1"/>
  <c r="M12" i="1"/>
  <c r="J12" i="1"/>
  <c r="J8" i="1"/>
  <c r="J5" i="1"/>
  <c r="N6" i="1" l="1"/>
  <c r="N10" i="1"/>
  <c r="N15" i="1"/>
  <c r="N11" i="1"/>
  <c r="N8" i="1"/>
  <c r="N5" i="1"/>
  <c r="N12" i="1"/>
  <c r="AQ8" i="1" l="1"/>
  <c r="AQ5" i="1"/>
  <c r="AQ12" i="1"/>
  <c r="AP16" i="1" l="1"/>
  <c r="AP4" i="1"/>
  <c r="AP11" i="1"/>
  <c r="AP3" i="1"/>
  <c r="AP12" i="1"/>
  <c r="AP9" i="1"/>
  <c r="AP6" i="1"/>
  <c r="AP10" i="1"/>
  <c r="AS12" i="1"/>
  <c r="AP8" i="1"/>
  <c r="AS8" i="1"/>
  <c r="AP5" i="1"/>
  <c r="AK12" i="1"/>
  <c r="AK8" i="1"/>
  <c r="AK5" i="1"/>
  <c r="AJ4" i="1" l="1"/>
  <c r="AJ16" i="1"/>
  <c r="AJ11" i="1"/>
  <c r="AJ12" i="1"/>
  <c r="AM12" i="1"/>
  <c r="AJ8" i="1"/>
  <c r="AJ5" i="1"/>
  <c r="Q8" i="1" l="1"/>
  <c r="Q12" i="1"/>
  <c r="Q5" i="1"/>
  <c r="AM8" i="1"/>
  <c r="AU14" i="1" l="1"/>
  <c r="G14" i="1" s="1"/>
  <c r="P15" i="1"/>
  <c r="P11" i="1"/>
  <c r="P13" i="1"/>
  <c r="AU12" i="1"/>
  <c r="P6" i="1"/>
  <c r="P5" i="1"/>
  <c r="AM5" i="1"/>
  <c r="AN16" i="1" s="1"/>
  <c r="AS5" i="1"/>
  <c r="AN4" i="1" l="1"/>
  <c r="AU16" i="1"/>
  <c r="G16" i="1" s="1"/>
  <c r="AU8" i="1"/>
  <c r="AN11" i="1"/>
  <c r="AT16" i="1"/>
  <c r="AT4" i="1"/>
  <c r="AT11" i="1"/>
  <c r="AU5" i="1"/>
  <c r="AU13" i="1"/>
  <c r="G13" i="1" s="1"/>
  <c r="AU15" i="1"/>
  <c r="G15" i="1" s="1"/>
  <c r="AN12" i="1"/>
  <c r="AU7" i="1"/>
  <c r="G7" i="1" s="1"/>
  <c r="AU6" i="1"/>
  <c r="G6" i="1" s="1"/>
  <c r="AT3" i="1"/>
  <c r="AT6" i="1"/>
  <c r="AT9" i="1"/>
  <c r="AT10" i="1"/>
  <c r="AT12" i="1"/>
  <c r="AU4" i="1"/>
  <c r="G4" i="1" s="1"/>
  <c r="AU11" i="1"/>
  <c r="G11" i="1" s="1"/>
  <c r="AU9" i="1"/>
  <c r="G9" i="1" s="1"/>
  <c r="AU3" i="1"/>
  <c r="AU10" i="1"/>
  <c r="G10" i="1" s="1"/>
  <c r="AT8" i="1"/>
  <c r="AT5" i="1"/>
  <c r="AN5" i="1"/>
  <c r="AN8" i="1"/>
  <c r="G3" i="1" l="1"/>
  <c r="S5" i="1"/>
  <c r="X5" i="1"/>
  <c r="AD5" i="1"/>
  <c r="AF5" i="1" l="1"/>
  <c r="Z5" i="1"/>
  <c r="U5" i="1"/>
  <c r="AH5" i="1" l="1"/>
  <c r="G5" i="1" s="1"/>
  <c r="S12" i="1" l="1"/>
  <c r="P12" i="1"/>
  <c r="S8" i="1"/>
  <c r="P8" i="1"/>
  <c r="AD8" i="1"/>
  <c r="AC4" i="1" s="1"/>
  <c r="AD12" i="1"/>
  <c r="AC3" i="1" s="1"/>
  <c r="X8" i="1"/>
  <c r="X12" i="1"/>
  <c r="W7" i="1" s="1"/>
  <c r="W4" i="1" l="1"/>
  <c r="W14" i="1"/>
  <c r="AC9" i="1"/>
  <c r="W11" i="1"/>
  <c r="AC11" i="1"/>
  <c r="T11" i="1"/>
  <c r="T15" i="1"/>
  <c r="T13" i="1"/>
  <c r="W9" i="1"/>
  <c r="W6" i="1"/>
  <c r="T6" i="1"/>
  <c r="AF12" i="1"/>
  <c r="AC12" i="1"/>
  <c r="AC13" i="1"/>
  <c r="W15" i="1"/>
  <c r="W13" i="1"/>
  <c r="AC15" i="1"/>
  <c r="AC10" i="1"/>
  <c r="AC5" i="1"/>
  <c r="W3" i="1"/>
  <c r="W10" i="1"/>
  <c r="W5" i="1"/>
  <c r="T5" i="1"/>
  <c r="T12" i="1"/>
  <c r="AF8" i="1"/>
  <c r="AC8" i="1"/>
  <c r="T8" i="1"/>
  <c r="W8" i="1"/>
  <c r="W12" i="1"/>
  <c r="Z8" i="1"/>
  <c r="Z12" i="1"/>
  <c r="AA7" i="1" s="1"/>
  <c r="AA4" i="1" l="1"/>
  <c r="AA14" i="1"/>
  <c r="AG4" i="1"/>
  <c r="AA11" i="1"/>
  <c r="AG3" i="1"/>
  <c r="AG9" i="1"/>
  <c r="AG11" i="1"/>
  <c r="AA9" i="1"/>
  <c r="AA6" i="1"/>
  <c r="AG12" i="1"/>
  <c r="AG15" i="1"/>
  <c r="AG13" i="1"/>
  <c r="AA13" i="1"/>
  <c r="AA15" i="1"/>
  <c r="AG5" i="1"/>
  <c r="AG10" i="1"/>
  <c r="AA3" i="1"/>
  <c r="AA10" i="1"/>
  <c r="AH12" i="1"/>
  <c r="AH8" i="1"/>
  <c r="AG8" i="1"/>
  <c r="AA5" i="1" l="1"/>
  <c r="AA12" i="1"/>
  <c r="AA8" i="1"/>
  <c r="U8" i="1"/>
  <c r="G8" i="1" s="1"/>
  <c r="U12" i="1" l="1"/>
  <c r="G12" i="1" s="1"/>
  <c r="H7" i="1" l="1"/>
  <c r="H14" i="1"/>
  <c r="H16" i="1"/>
  <c r="H4" i="1"/>
  <c r="H11" i="1"/>
  <c r="H9" i="1"/>
  <c r="H6" i="1"/>
  <c r="H13" i="1"/>
  <c r="H15" i="1"/>
  <c r="H3" i="1"/>
  <c r="H10" i="1"/>
  <c r="H5" i="1"/>
  <c r="H8" i="1"/>
  <c r="H12" i="1"/>
</calcChain>
</file>

<file path=xl/sharedStrings.xml><?xml version="1.0" encoding="utf-8"?>
<sst xmlns="http://schemas.openxmlformats.org/spreadsheetml/2006/main" count="272" uniqueCount="178">
  <si>
    <t>Name</t>
  </si>
  <si>
    <t>Vorname</t>
  </si>
  <si>
    <t>Gesamtpunkte</t>
  </si>
  <si>
    <t>Zeit LSC</t>
  </si>
  <si>
    <t>Platz LSC</t>
  </si>
  <si>
    <t>Punkte LSC</t>
  </si>
  <si>
    <t>Bonus LSC</t>
  </si>
  <si>
    <t>Gesamt LSC</t>
  </si>
  <si>
    <t>Bonuspl. LSC</t>
  </si>
  <si>
    <t>Zeit S&amp;R</t>
  </si>
  <si>
    <t>Platz S&amp;R</t>
  </si>
  <si>
    <t>Punkte S&amp;R</t>
  </si>
  <si>
    <t>Bonus S&amp;R</t>
  </si>
  <si>
    <t>Bonuspl.  S&amp;R</t>
  </si>
  <si>
    <t>Zeit LC</t>
  </si>
  <si>
    <t>Bonuspl. LC</t>
  </si>
  <si>
    <t>JG</t>
  </si>
  <si>
    <t>Lemming</t>
  </si>
  <si>
    <t>Alter</t>
  </si>
  <si>
    <t>Gesamt S&amp;R</t>
  </si>
  <si>
    <t>Swim &amp; Run</t>
  </si>
  <si>
    <t>Gesamtplatz</t>
  </si>
  <si>
    <t>Platz LC</t>
  </si>
  <si>
    <t>Punkte LC</t>
  </si>
  <si>
    <t>Bonus LC</t>
  </si>
  <si>
    <t>Gesamt LC</t>
  </si>
  <si>
    <t>Lemming Cup</t>
  </si>
  <si>
    <t>kL</t>
  </si>
  <si>
    <t>Zeit LKC</t>
  </si>
  <si>
    <t>Platz LKC</t>
  </si>
  <si>
    <t>Punkte LKC</t>
  </si>
  <si>
    <t>Bonus LKC</t>
  </si>
  <si>
    <t>Gesamt LKC</t>
  </si>
  <si>
    <t>Bonuspl. LKC</t>
  </si>
  <si>
    <t xml:space="preserve"> </t>
  </si>
  <si>
    <t>Punkte Ski</t>
  </si>
  <si>
    <t>Ski</t>
  </si>
  <si>
    <t>Triathlon</t>
  </si>
  <si>
    <t>Punkte Triathlon</t>
  </si>
  <si>
    <t>Gesamt</t>
  </si>
  <si>
    <t>Bergzeitfahren</t>
  </si>
  <si>
    <t>Zeit BZF</t>
  </si>
  <si>
    <t>Platz BZF</t>
  </si>
  <si>
    <t>Punkte BZF</t>
  </si>
  <si>
    <t>Bonus BZF</t>
  </si>
  <si>
    <t>Gesamt BZF</t>
  </si>
  <si>
    <t>Bonuspl.  BZF</t>
  </si>
  <si>
    <t>Radsport</t>
  </si>
  <si>
    <t>Punkte Radsport</t>
  </si>
  <si>
    <t>Einzelzeitfahren</t>
  </si>
  <si>
    <t>Zeit EZF</t>
  </si>
  <si>
    <t>Platz EZF</t>
  </si>
  <si>
    <t>Punkte EZF</t>
  </si>
  <si>
    <t>Bonus EZF</t>
  </si>
  <si>
    <t>Gesamt EZF</t>
  </si>
  <si>
    <t>Bonuspl.  EZF</t>
  </si>
  <si>
    <t>Kromm</t>
  </si>
  <si>
    <t>Lisa</t>
  </si>
  <si>
    <t>Charlotte</t>
  </si>
  <si>
    <t>Debertin</t>
  </si>
  <si>
    <t>Daniel</t>
  </si>
  <si>
    <t>Dirk</t>
  </si>
  <si>
    <t>Fabian</t>
  </si>
  <si>
    <t>Wolf</t>
  </si>
  <si>
    <t>Kallenberg</t>
  </si>
  <si>
    <t>Michael</t>
  </si>
  <si>
    <t>Keller</t>
  </si>
  <si>
    <t>Rudolf</t>
  </si>
  <si>
    <t>Wetzler</t>
  </si>
  <si>
    <t>Hansjürgen</t>
  </si>
  <si>
    <t>Frank</t>
  </si>
  <si>
    <t>Horstmann</t>
  </si>
  <si>
    <t>Rosenkranz</t>
  </si>
  <si>
    <t>Matthias</t>
  </si>
  <si>
    <t>Weimar</t>
  </si>
  <si>
    <t>Edmund</t>
  </si>
  <si>
    <t>Pählke</t>
  </si>
  <si>
    <t>Max</t>
  </si>
  <si>
    <t>Krämer</t>
  </si>
  <si>
    <t>Christian</t>
  </si>
  <si>
    <t>Beck</t>
  </si>
  <si>
    <t>Dominik</t>
  </si>
  <si>
    <t>Reichenbacher</t>
  </si>
  <si>
    <t>David</t>
  </si>
  <si>
    <t>Lüttel</t>
  </si>
  <si>
    <t>Uli</t>
  </si>
  <si>
    <t>Muschkeit</t>
  </si>
  <si>
    <t>Johannes</t>
  </si>
  <si>
    <t>Schwedes</t>
  </si>
  <si>
    <t>Sascha</t>
  </si>
  <si>
    <t>Felix</t>
  </si>
  <si>
    <t>Hülsmann</t>
  </si>
  <si>
    <t>Nikolas</t>
  </si>
  <si>
    <t>Andrea</t>
  </si>
  <si>
    <t>Flöter</t>
  </si>
  <si>
    <t>Geissler</t>
  </si>
  <si>
    <t>Raphael</t>
  </si>
  <si>
    <t>Christoph</t>
  </si>
  <si>
    <t>Haak</t>
  </si>
  <si>
    <t>Steffen</t>
  </si>
  <si>
    <t>Tobias</t>
  </si>
  <si>
    <t>Lamm</t>
  </si>
  <si>
    <t>Hannah</t>
  </si>
  <si>
    <t>Bo</t>
  </si>
  <si>
    <t>Li</t>
  </si>
  <si>
    <t>Wild</t>
  </si>
  <si>
    <t>Tino</t>
  </si>
  <si>
    <t>Jungeblut</t>
  </si>
  <si>
    <t>Paul</t>
  </si>
  <si>
    <t>Haug</t>
  </si>
  <si>
    <t>Saskia</t>
  </si>
  <si>
    <t>Weik</t>
  </si>
  <si>
    <t>Julian</t>
  </si>
  <si>
    <t>Klassic Cup</t>
  </si>
  <si>
    <t>Biber</t>
  </si>
  <si>
    <t>Mario</t>
  </si>
  <si>
    <t>Kuse</t>
  </si>
  <si>
    <t>Stefan</t>
  </si>
  <si>
    <t>Baumann</t>
  </si>
  <si>
    <t>Roth</t>
  </si>
  <si>
    <t>Volkmar</t>
  </si>
  <si>
    <t>Allmenröder</t>
  </si>
  <si>
    <t xml:space="preserve">Jan  </t>
  </si>
  <si>
    <t>Maximilian</t>
  </si>
  <si>
    <t>Marion</t>
  </si>
  <si>
    <t>Back</t>
  </si>
  <si>
    <t>Patrick</t>
  </si>
  <si>
    <t>Josl</t>
  </si>
  <si>
    <t>Rouven</t>
  </si>
  <si>
    <t>Rautenberg</t>
  </si>
  <si>
    <t>Maud</t>
  </si>
  <si>
    <t>Lemming Loppet (16,5 km)</t>
  </si>
  <si>
    <t>Lemming Loppet (30,8 km bzw. 1,92 x Zeit 16,5 km)</t>
  </si>
  <si>
    <t>Florent</t>
  </si>
  <si>
    <t>Felhauer</t>
  </si>
  <si>
    <t>Niklas</t>
  </si>
  <si>
    <t>Preunkert</t>
  </si>
  <si>
    <t>Constanze</t>
  </si>
  <si>
    <t>Bulthaupt</t>
  </si>
  <si>
    <t>Katharina</t>
  </si>
  <si>
    <t>Heller</t>
  </si>
  <si>
    <t>Lars</t>
  </si>
  <si>
    <t>Sauer</t>
  </si>
  <si>
    <t>Carla</t>
  </si>
  <si>
    <t>Philipp</t>
  </si>
  <si>
    <t>Körner</t>
  </si>
  <si>
    <t>Holger</t>
  </si>
  <si>
    <t>Gekeler</t>
  </si>
  <si>
    <t>Möhler</t>
  </si>
  <si>
    <t>Samuel</t>
  </si>
  <si>
    <t>Beisel</t>
  </si>
  <si>
    <t>Braunbarth</t>
  </si>
  <si>
    <t>Graf</t>
  </si>
  <si>
    <t>Hug</t>
  </si>
  <si>
    <t>Luca Amelie</t>
  </si>
  <si>
    <t>Machacek</t>
  </si>
  <si>
    <t>Helen</t>
  </si>
  <si>
    <t>Milowsky</t>
  </si>
  <si>
    <t>Antonia</t>
  </si>
  <si>
    <t>Raubach</t>
  </si>
  <si>
    <t>Noga</t>
  </si>
  <si>
    <t>Kathrin</t>
  </si>
  <si>
    <t>Harms</t>
  </si>
  <si>
    <t>Braun</t>
  </si>
  <si>
    <t>Bukenberger</t>
  </si>
  <si>
    <t>Luca</t>
  </si>
  <si>
    <t>Fischer</t>
  </si>
  <si>
    <t>Degel</t>
  </si>
  <si>
    <t>Kost</t>
  </si>
  <si>
    <t>Stade</t>
  </si>
  <si>
    <t>Dawid</t>
  </si>
  <si>
    <t>Schirmers</t>
  </si>
  <si>
    <t>Benedikt</t>
  </si>
  <si>
    <t>Schneider</t>
  </si>
  <si>
    <t>Bender</t>
  </si>
  <si>
    <t>Golke</t>
  </si>
  <si>
    <t>Moritz</t>
  </si>
  <si>
    <t>Müller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</si>
</sst>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&lt;=0]_;#;General"/>
    <numFmt numFmtId="165" formatCode="[&lt;=0]_;#;#.0"/>
    <numFmt numFmtId="166" formatCode="h:mm:ss"/>
    <numFmt numFmtId="167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scheme val="minor"/>
    </font>
    <font>
      <b/>
      <sz val="11"/>
      <color theme="1"/>
      <name val="Calibri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9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3" fillId="0" borderId="0" xfId="0" applyFont="1"/>
    <xf numFmtId="0" fontId="0" fillId="3" borderId="0" xfId="0" applyFill="1"/>
    <xf numFmtId="0" fontId="4" fillId="2" borderId="0" xfId="0" applyFont="1" applyFill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165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6" fontId="3" fillId="0" borderId="0" xfId="0" applyNumberFormat="1" applyFont="1" applyFill="1" applyAlignment="1">
      <alignment horizontal="center"/>
    </xf>
    <xf numFmtId="165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65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1" fillId="8" borderId="0" xfId="0" applyFont="1" applyFill="1" applyAlignment="1">
      <alignment horizontal="center"/>
    </xf>
    <xf numFmtId="165" fontId="5" fillId="9" borderId="0" xfId="0" applyNumberFormat="1" applyFont="1" applyFill="1" applyAlignment="1">
      <alignment horizontal="center"/>
    </xf>
    <xf numFmtId="0" fontId="10" fillId="2" borderId="0" xfId="0" applyFont="1" applyFill="1"/>
    <xf numFmtId="1" fontId="5" fillId="0" borderId="0" xfId="0" applyNumberFormat="1" applyFont="1" applyAlignment="1">
      <alignment horizontal="center"/>
    </xf>
    <xf numFmtId="165" fontId="5" fillId="9" borderId="1" xfId="0" applyNumberFormat="1" applyFont="1" applyFill="1" applyBorder="1" applyAlignment="1">
      <alignment horizontal="center"/>
    </xf>
    <xf numFmtId="0" fontId="5" fillId="0" borderId="0" xfId="0" applyFont="1"/>
    <xf numFmtId="166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165" fontId="7" fillId="0" borderId="0" xfId="0" applyNumberFormat="1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" fontId="2" fillId="1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" fontId="6" fillId="10" borderId="0" xfId="0" applyNumberFormat="1" applyFont="1" applyFill="1" applyAlignment="1">
      <alignment horizontal="center"/>
    </xf>
    <xf numFmtId="21" fontId="3" fillId="0" borderId="0" xfId="0" applyNumberFormat="1" applyFont="1" applyAlignment="1">
      <alignment horizontal="center"/>
    </xf>
    <xf numFmtId="0" fontId="9" fillId="11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13" borderId="0" xfId="0" applyFont="1" applyFill="1" applyAlignment="1">
      <alignment horizontal="center"/>
    </xf>
    <xf numFmtId="0" fontId="1" fillId="1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167" fontId="2" fillId="9" borderId="0" xfId="0" applyNumberFormat="1" applyFont="1" applyFill="1" applyAlignment="1">
      <alignment horizontal="center"/>
    </xf>
  </cellXfs>
  <cellStyles count="2">
    <cellStyle name="Normal" xfId="0" builtinId="0"/>
    <cellStyle name="Standard 2" xfId="1" xr:uid="{00000000-0005-0000-0000-000001000000}"/>
  </cellStyles>
  <dxfs count="9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[&lt;=0]_;#;#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[&lt;=0]_;#;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[&lt;=0]_;#;#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h:mm:ss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[&lt;=0]_;#;#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[&lt;=0]_;#;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[&lt;=0]_;#;#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h:mm:ss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[&lt;=0]_;#;#.0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[&lt;=0]_;#;#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[&lt;=0]_;#;#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[&lt;=0]_;#;#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h:mm:ss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[&lt;=0]_;#;#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[&lt;=0]_;#;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[&lt;=0]_;#;#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h:mm:ss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[&lt;=0]_;#;#.0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[&lt;=0]_;#;#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[&lt;=0]_;#;#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[&lt;=0]_;#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[&lt;=0]_;#;#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[&lt;=0]_;#;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[&lt;=0]_;#;#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h:mm:ss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[&lt;=0]_;#;#.0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[&lt;=0]_;#;#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[&lt;=0]_;#;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[&lt;=0]_;#;#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h:mm:ss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[&lt;=0]_;#;#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[&lt;=0]_;#;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[&lt;=0]_;#;#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h:mm:ss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[&lt;=0]_;#;#.0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[&lt;=0]_;#;#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[&lt;=0]_;#;#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[&lt;=0]_;#;#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h:mm:ss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[&lt;=0]_;#;#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[&lt;=0]_;#;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[&lt;=0]_;#;#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h:mm:ss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[&lt;=0]_;#;#.0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[&lt;=0]_;#;#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[&lt;=0]_;#;#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[&lt;=0]_;#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[&lt;=0]_;#;#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[&lt;=0]_;#;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[&lt;=0]_;#;#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h:mm:ss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[&lt;=0]_;#;#.0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AT16" totalsRowShown="0" headerRowDxfId="93">
  <sortState xmlns:xlrd2="http://schemas.microsoft.com/office/spreadsheetml/2017/richdata2" ref="A3:AT16">
    <sortCondition ref="H3:H16"/>
  </sortState>
  <tableColumns count="46">
    <tableColumn id="1" xr3:uid="{00000000-0010-0000-0000-000001000000}" name="Name" dataDxfId="92"/>
    <tableColumn id="2" xr3:uid="{00000000-0010-0000-0000-000002000000}" name="Vorname" dataDxfId="91"/>
    <tableColumn id="25" xr3:uid="{00000000-0010-0000-0000-000019000000}" name="Lemming" dataDxfId="90"/>
    <tableColumn id="3" xr3:uid="{00000000-0010-0000-0000-000003000000}" name="JG" dataDxfId="89"/>
    <tableColumn id="26" xr3:uid="{00000000-0010-0000-0000-00001A000000}" name="Alter" dataDxfId="88">
      <calculatedColumnFormula>IF(Table1[[#This Row],[JG]],2024-Table1[[#This Row],[JG]],0)</calculatedColumnFormula>
    </tableColumn>
    <tableColumn id="12" xr3:uid="{00000000-0010-0000-0000-00000C000000}" name="kL" dataDxfId="87"/>
    <tableColumn id="37" xr3:uid="{00000000-0010-0000-0000-000025000000}" name="Gesamtpunkte" dataDxfId="86">
      <calculatedColumnFormula>SUM(U3, AH3, AU3)</calculatedColumnFormula>
    </tableColumn>
    <tableColumn id="36" xr3:uid="{00000000-0010-0000-0000-000024000000}" name="Gesamtplatz" dataDxfId="85">
      <calculatedColumnFormula>_xlfn.RANK.EQ(Table1[[#This Row],[Gesamtpunkte]],Table1[Gesamtpunkte],0)</calculatedColumnFormula>
    </tableColumn>
    <tableColumn id="53" xr3:uid="{FF547A3E-5E9F-478E-8C48-E4FEB80406D6}" name="Zeit LSC" dataDxfId="84"/>
    <tableColumn id="52" xr3:uid="{6F0A24D3-16B9-41AC-84D2-891E22B4453C}" name="Platz LSC" dataDxfId="83">
      <calculatedColumnFormula>IF(Table1[[#This Row],[Zeit LSC]]&gt;0,_xlfn.RANK.EQ(Table1[[#This Row],[Punkte LSC]],Table1[Punkte LSC],0)," ")</calculatedColumnFormula>
    </tableColumn>
    <tableColumn id="51" xr3:uid="{E5454BBC-9F2D-4AC1-B745-A0D3395BE906}" name="Punkte LSC" dataDxfId="82">
      <calculatedColumnFormula>IF(Table1[[#This Row],[Zeit LSC]]&gt;0,MIN(Table1[Zeit LSC])/Table1[[#This Row],[Zeit LSC]]*1000,0)</calculatedColumnFormula>
    </tableColumn>
    <tableColumn id="50" xr3:uid="{8DBC8B14-3398-4B06-B7AE-5B021EE0F9D0}" name="Bonus LSC" dataDxfId="81">
      <calculatedColumnFormula>IF(Table1[[#This Row],[Zeit LSC]]&gt;0,SUM(IF(Table1[[#This Row],[Alter]]&gt;40,(Table1[[#This Row],[Alter]]-40)*4,0),IF(AND(Table1[[#This Row],[Alter]]&lt;20,Table1[[#This Row],[Alter]]&gt;0),(20-Table1[[#This Row],[Alter]])*10,0)),0)</calculatedColumnFormula>
    </tableColumn>
    <tableColumn id="49" xr3:uid="{181B5944-C141-4E93-A23E-3BAF8D3A0CAA}" name="Gesamt LSC" dataDxfId="80">
      <calculatedColumnFormula>(Table1[[#This Row],[Punkte LSC]]+Table1[[#This Row],[Bonus LSC]])</calculatedColumnFormula>
    </tableColumn>
    <tableColumn id="48" xr3:uid="{AEF05E5A-B8A7-4FC7-9EBD-2B727EA07A7A}" name="Bonuspl. LSC" dataDxfId="79">
      <calculatedColumnFormula>IF(Table1[[#This Row],[Zeit LSC]]&gt;0,_xlfn.RANK.EQ(Table1[[#This Row],[Gesamt LSC]],Table1[Gesamt LSC],0)," ")</calculatedColumnFormula>
    </tableColumn>
    <tableColumn id="15" xr3:uid="{00000000-0010-0000-0000-00000F000000}" name="Zeit LKC" dataDxfId="78"/>
    <tableColumn id="22" xr3:uid="{00000000-0010-0000-0000-000016000000}" name="Platz LKC" dataDxfId="77">
      <calculatedColumnFormula>IF(Table1[[#This Row],[Zeit LKC]]&gt;0,_xlfn.RANK.EQ(Table1[[#This Row],[Punkte LKC]],Table1[Punkte LKC],0)," ")</calculatedColumnFormula>
    </tableColumn>
    <tableColumn id="14" xr3:uid="{00000000-0010-0000-0000-00000E000000}" name="Punkte LKC" dataDxfId="76">
      <calculatedColumnFormula>IF(Table1[[#This Row],[Zeit LKC]]&gt;0,MIN(Table1[Zeit LKC])/Table1[[#This Row],[Zeit LKC]]*1000,0)</calculatedColumnFormula>
    </tableColumn>
    <tableColumn id="34" xr3:uid="{00000000-0010-0000-0000-000022000000}" name="Bonus LKC" dataDxfId="75">
      <calculatedColumnFormula>IF(Table1[[#This Row],[Zeit LKC]]&gt;0,SUM(IF(Table1[[#This Row],[Alter]]&gt;40,(Table1[[#This Row],[Alter]]-40)*4,0),IF(AND(Table1[[#This Row],[Alter]]&lt;20,Table1[[#This Row],[Alter]]&gt;0),(20-Table1[[#This Row],[Alter]])*10,0)),0)</calculatedColumnFormula>
    </tableColumn>
    <tableColumn id="33" xr3:uid="{00000000-0010-0000-0000-000021000000}" name="Gesamt LKC" dataDxfId="74">
      <calculatedColumnFormula>(Table1[[#This Row],[Punkte LKC]]+Table1[[#This Row],[Bonus LKC]])</calculatedColumnFormula>
    </tableColumn>
    <tableColumn id="35" xr3:uid="{00000000-0010-0000-0000-000023000000}" name="Bonuspl. LKC" dataDxfId="73">
      <calculatedColumnFormula>IF(Table1[[#This Row],[Zeit LKC]]&gt;0,_xlfn.RANK.EQ(Table1[[#This Row],[Gesamt LKC]],Table1[Gesamt LKC],0)," ")</calculatedColumnFormula>
    </tableColumn>
    <tableColumn id="16" xr3:uid="{00000000-0010-0000-0000-000010000000}" name="Punkte Ski" dataDxfId="72">
      <calculatedColumnFormula>MAX( S3,M3)</calculatedColumnFormula>
    </tableColumn>
    <tableColumn id="18" xr3:uid="{00000000-0010-0000-0000-000012000000}" name="Zeit S&amp;R" dataDxfId="71"/>
    <tableColumn id="19" xr3:uid="{00000000-0010-0000-0000-000013000000}" name="Platz S&amp;R" dataDxfId="70">
      <calculatedColumnFormula>IF(Table1[[#This Row],[Zeit S&amp;R]]&gt;0,_xlfn.RANK.EQ(Table1[[#This Row],[Punkte S&amp;R]],Table1[Punkte S&amp;R],0)," ")</calculatedColumnFormula>
    </tableColumn>
    <tableColumn id="20" xr3:uid="{00000000-0010-0000-0000-000014000000}" name="Punkte S&amp;R" dataDxfId="69">
      <calculatedColumnFormula>IF(Table1[[#This Row],[Zeit S&amp;R]]&gt;0,MIN(Table1[Zeit S&amp;R])/Table1[[#This Row],[Zeit S&amp;R]]*1000,0)</calculatedColumnFormula>
    </tableColumn>
    <tableColumn id="21" xr3:uid="{00000000-0010-0000-0000-000015000000}" name="Bonus S&amp;R" dataDxfId="68">
      <calculatedColumnFormula>IF(Table1[[#This Row],[Zeit S&amp;R]]&gt;0,SUM(IF(Table1[[#This Row],[Alter]]&gt;40,(Table1[[#This Row],[Alter]]-40)*4,0),IF(AND(Table1[[#This Row],[Alter]]&lt;20,Table1[[#This Row],[Alter]]&gt;0),(20-Table1[[#This Row],[Alter]])*10,0)),0)</calculatedColumnFormula>
    </tableColumn>
    <tableColumn id="13" xr3:uid="{00000000-0010-0000-0000-00000D000000}" name="Gesamt S&amp;R" dataDxfId="67">
      <calculatedColumnFormula>(Table1[[#This Row],[Punkte S&amp;R]]+Table1[[#This Row],[Bonus S&amp;R]])</calculatedColumnFormula>
    </tableColumn>
    <tableColumn id="23" xr3:uid="{00000000-0010-0000-0000-000017000000}" name="Bonuspl.  S&amp;R" dataDxfId="66">
      <calculatedColumnFormula>IF(Table1[[#This Row],[Zeit S&amp;R]]&gt;0,_xlfn.RANK.EQ(Table1[[#This Row],[Gesamt S&amp;R]],Table1[Gesamt S&amp;R],0)," ")</calculatedColumnFormula>
    </tableColumn>
    <tableColumn id="27" xr3:uid="{00000000-0010-0000-0000-00001B000000}" name="Zeit LC" dataDxfId="65"/>
    <tableColumn id="29" xr3:uid="{00000000-0010-0000-0000-00001D000000}" name="Platz LC" dataDxfId="64">
      <calculatedColumnFormula>IF(Table1[[#This Row],[Zeit LC]]&gt;0,_xlfn.RANK.EQ(Table1[[#This Row],[Punkte LC]],Table1[Punkte LC],0)," ")</calculatedColumnFormula>
    </tableColumn>
    <tableColumn id="31" xr3:uid="{00000000-0010-0000-0000-00001F000000}" name="Punkte LC" dataDxfId="63">
      <calculatedColumnFormula>IF(Table1[[#This Row],[Zeit LC]]&gt;0,MIN(Table1[Zeit LC])/Table1[[#This Row],[Zeit LC]]*1000,0)</calculatedColumnFormula>
    </tableColumn>
    <tableColumn id="30" xr3:uid="{00000000-0010-0000-0000-00001E000000}" name="Bonus LC" dataDxfId="62">
      <calculatedColumnFormula>IF(Table1[[#This Row],[Zeit LC]]&gt;0,SUM(IF(Table1[[#This Row],[Alter]]&gt;40,(Table1[[#This Row],[Alter]]-40)*4,0),IF(AND(Table1[[#This Row],[Alter]]&lt;20,Table1[[#This Row],[Alter]]&gt;0),(20-Table1[[#This Row],[Alter]])*10,0)),0)</calculatedColumnFormula>
    </tableColumn>
    <tableColumn id="32" xr3:uid="{00000000-0010-0000-0000-000020000000}" name="Gesamt LC" dataDxfId="61">
      <calculatedColumnFormula>(Table1[[#This Row],[Punkte LC]]+Table1[[#This Row],[Bonus LC]])</calculatedColumnFormula>
    </tableColumn>
    <tableColumn id="28" xr3:uid="{00000000-0010-0000-0000-00001C000000}" name="Bonuspl. LC" dataDxfId="60">
      <calculatedColumnFormula>IF(Table1[[#This Row],[Zeit LC]]&gt;0,_xlfn.RANK.EQ(Table1[[#This Row],[Gesamt LC]],Table1[Gesamt LC],0)," ")</calculatedColumnFormula>
    </tableColumn>
    <tableColumn id="41" xr3:uid="{00000000-0010-0000-0000-000029000000}" name="Punkte Triathlon" dataDxfId="59">
      <calculatedColumnFormula>MAX( Z3,AF3)</calculatedColumnFormula>
    </tableColumn>
    <tableColumn id="47" xr3:uid="{00000000-0010-0000-0000-00002F000000}" name="Zeit BZF" dataDxfId="58"/>
    <tableColumn id="46" xr3:uid="{00000000-0010-0000-0000-00002E000000}" name="Platz BZF" dataDxfId="57">
      <calculatedColumnFormula>IF(Table1[[#This Row],[Zeit BZF]]&gt;0,_xlfn.RANK.EQ(Table1[[#This Row],[Punkte BZF]],Table1[Punkte BZF],0)," ")</calculatedColumnFormula>
    </tableColumn>
    <tableColumn id="45" xr3:uid="{00000000-0010-0000-0000-00002D000000}" name="Punkte BZF" dataDxfId="56">
      <calculatedColumnFormula>IF(Table1[[#This Row],[Zeit BZF]]&gt;0,MIN(Table1[Zeit BZF])/Table1[[#This Row],[Zeit BZF]]*1000,0)</calculatedColumnFormula>
    </tableColumn>
    <tableColumn id="44" xr3:uid="{00000000-0010-0000-0000-00002C000000}" name="Bonus BZF" dataDxfId="55">
      <calculatedColumnFormula>IF(Table1[[#This Row],[Zeit BZF]]&gt;0,SUM(IF(Table1[[#This Row],[Alter]]&gt;40,(Table1[[#This Row],[Alter]]-40)*4,0),IF(AND(Table1[[#This Row],[Alter]]&lt;20,Table1[[#This Row],[Alter]]&gt;0),(20-Table1[[#This Row],[Alter]])*10,0)),0)</calculatedColumnFormula>
    </tableColumn>
    <tableColumn id="43" xr3:uid="{00000000-0010-0000-0000-00002B000000}" name="Gesamt BZF" dataDxfId="54">
      <calculatedColumnFormula>(Table1[[#This Row],[Punkte BZF]]+Table1[[#This Row],[Bonus BZF]])</calculatedColumnFormula>
    </tableColumn>
    <tableColumn id="42" xr3:uid="{00000000-0010-0000-0000-00002A000000}" name="Bonuspl.  BZF" dataDxfId="53">
      <calculatedColumnFormula>IF(Table1[[#This Row],[Zeit BZF]]&gt;0,_xlfn.RANK.EQ(Table1[[#This Row],[Gesamt BZF]],Table1[Gesamt BZF],0)," ")</calculatedColumnFormula>
    </tableColumn>
    <tableColumn id="40" xr3:uid="{00000000-0010-0000-0000-000028000000}" name="Zeit EZF" dataDxfId="52"/>
    <tableColumn id="39" xr3:uid="{00000000-0010-0000-0000-000027000000}" name="Platz EZF" dataDxfId="51">
      <calculatedColumnFormula>IF(Table1[[#This Row],[Zeit EZF]]&gt;0,_xlfn.RANK.EQ(Table1[[#This Row],[Punkte EZF]],Table1[Punkte EZF],0)," ")</calculatedColumnFormula>
    </tableColumn>
    <tableColumn id="38" xr3:uid="{00000000-0010-0000-0000-000026000000}" name="Punkte EZF" dataDxfId="50">
      <calculatedColumnFormula>IF(Table1[[#This Row],[Zeit EZF]]&gt;0,MIN(Table1[Zeit EZF])/Table1[[#This Row],[Zeit EZF]]*1000,0)</calculatedColumnFormula>
    </tableColumn>
    <tableColumn id="24" xr3:uid="{00000000-0010-0000-0000-000018000000}" name="Bonus EZF" dataDxfId="49">
      <calculatedColumnFormula>IF(Table1[[#This Row],[Zeit EZF]]&gt;0,SUM(IF(Table1[[#This Row],[Alter]]&gt;40,(Table1[[#This Row],[Alter]]-40)*4,0),IF(AND(Table1[[#This Row],[Alter]]&lt;20,Table1[[#This Row],[Alter]]&gt;0),(20-Table1[[#This Row],[Alter]])*10,0)),0)</calculatedColumnFormula>
    </tableColumn>
    <tableColumn id="4" xr3:uid="{00000000-0010-0000-0000-000004000000}" name="Gesamt EZF" dataDxfId="48">
      <calculatedColumnFormula>(Table1[[#This Row],[Punkte EZF]]+Table1[[#This Row],[Bonus EZF]])</calculatedColumnFormula>
    </tableColumn>
    <tableColumn id="17" xr3:uid="{00000000-0010-0000-0000-000011000000}" name="Bonuspl.  EZF" dataDxfId="47">
      <calculatedColumnFormula>IF(Table1[[#This Row],[Zeit EZF]]&gt;0,_xlfn.RANK.EQ(Table1[[#This Row],[Gesamt EZF]],Table1[Gesamt EZF],0)," ")</calculatedColumnFormula>
    </tableColumn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451C765-1E1D-46D1-962B-1298EBADC13E}" name="Table13" displayName="Table13" ref="A2:AT56" totalsRowShown="0" headerRowDxfId="46">
  <sortState xmlns:xlrd2="http://schemas.microsoft.com/office/spreadsheetml/2017/richdata2" ref="A3:AT56">
    <sortCondition ref="H3:H56"/>
  </sortState>
  <tableColumns count="46">
    <tableColumn id="1" xr3:uid="{C39CBD32-6996-4433-B90E-8C9EA33F7FCE}" name="Name" dataDxfId="45"/>
    <tableColumn id="2" xr3:uid="{00FE3CD3-5828-48F1-B226-11B4AB6351CC}" name="Vorname" dataDxfId="44"/>
    <tableColumn id="25" xr3:uid="{B1EFBC7F-FD08-403C-A533-0F35786639DB}" name="Lemming" dataDxfId="43"/>
    <tableColumn id="3" xr3:uid="{DF74E8A7-C8DE-40F0-888C-2B07FB7F459D}" name="JG" dataDxfId="42"/>
    <tableColumn id="26" xr3:uid="{27D5FC9C-7011-4A52-A51E-4EE3679704F3}" name="Alter" dataDxfId="41">
      <calculatedColumnFormula>IF(Table13[[#This Row],[JG]],2024-Table13[[#This Row],[JG]],0)</calculatedColumnFormula>
    </tableColumn>
    <tableColumn id="12" xr3:uid="{E95D42BD-C47B-44D4-A4CD-194F8CA06228}" name="kL" dataDxfId="40"/>
    <tableColumn id="37" xr3:uid="{123117DD-24EC-4F93-BF11-19272130A836}" name="Gesamtpunkte" dataDxfId="39">
      <calculatedColumnFormula>SUM(U3, AH3, AU3)</calculatedColumnFormula>
    </tableColumn>
    <tableColumn id="36" xr3:uid="{493ABC8A-DBE4-40A9-8991-8D82B59305B7}" name="Gesamtplatz" dataDxfId="38">
      <calculatedColumnFormula>_xlfn.RANK.EQ(Table13[[#This Row],[Gesamtpunkte]],Table13[Gesamtpunkte],0)</calculatedColumnFormula>
    </tableColumn>
    <tableColumn id="53" xr3:uid="{D777A4B1-139D-4213-A43A-A28DB553E528}" name="Zeit LSC" dataDxfId="37"/>
    <tableColumn id="52" xr3:uid="{07200989-673E-464F-A256-5276ABCC8141}" name="Platz LSC" dataDxfId="36">
      <calculatedColumnFormula>IF(Table13[[#This Row],[Zeit LSC]]&gt;0,_xlfn.RANK.EQ(Table13[[#This Row],[Punkte LSC]],Table13[Punkte LSC],0)," ")</calculatedColumnFormula>
    </tableColumn>
    <tableColumn id="51" xr3:uid="{4D774640-A5F4-4DF2-8A95-0E9A13002109}" name="Punkte LSC" dataDxfId="35">
      <calculatedColumnFormula>IF(Table13[[#This Row],[Zeit LSC]]&gt;0,MIN(Table13[Zeit LSC])/Table13[[#This Row],[Zeit LSC]]*1000,0)</calculatedColumnFormula>
    </tableColumn>
    <tableColumn id="50" xr3:uid="{0643362D-AE37-4898-9205-C5FD587D4282}" name="Bonus LSC" dataDxfId="34">
      <calculatedColumnFormula>IF(Table13[[#This Row],[Zeit LSC]]&gt;0,SUM(IF(Table13[[#This Row],[Alter]]&gt;40,(Table13[[#This Row],[Alter]]-40)*4,0),IF(AND(Table13[[#This Row],[Alter]]&lt;20,Table13[[#This Row],[Alter]]&gt;0),(20-Table13[[#This Row],[Alter]])*10,0)),0)</calculatedColumnFormula>
    </tableColumn>
    <tableColumn id="49" xr3:uid="{40533B82-1603-4603-ABC0-5C77C0A1A940}" name="Gesamt LSC" dataDxfId="33">
      <calculatedColumnFormula>(Table13[[#This Row],[Punkte LSC]]+Table13[[#This Row],[Bonus LSC]])</calculatedColumnFormula>
    </tableColumn>
    <tableColumn id="48" xr3:uid="{DD6EED9E-B15D-4909-AF84-B4B8455F92FF}" name="Bonuspl. LSC" dataDxfId="32">
      <calculatedColumnFormula>IF(Table13[[#This Row],[Zeit LSC]]&gt;0,_xlfn.RANK.EQ(Table13[[#This Row],[Gesamt LSC]],Table13[Gesamt LSC],0)," ")</calculatedColumnFormula>
    </tableColumn>
    <tableColumn id="15" xr3:uid="{F3608648-3407-43B6-BFEE-92BA0BA015D9}" name="Zeit LKC" dataDxfId="31"/>
    <tableColumn id="22" xr3:uid="{CBD9E415-02B4-4771-87BF-182669E48BEC}" name="Platz LKC" dataDxfId="30">
      <calculatedColumnFormula>IF(Table13[[#This Row],[Zeit LKC]]&gt;0,_xlfn.RANK.EQ(Table13[[#This Row],[Punkte LKC]],Table13[Punkte LKC],0)," ")</calculatedColumnFormula>
    </tableColumn>
    <tableColumn id="14" xr3:uid="{D20B6751-081F-4245-9ABD-ADFA366141B7}" name="Punkte LKC" dataDxfId="29">
      <calculatedColumnFormula>IF(Table13[[#This Row],[Zeit LKC]]&gt;0,MIN(Table13[Zeit LKC])/Table13[[#This Row],[Zeit LKC]]*1000,0)</calculatedColumnFormula>
    </tableColumn>
    <tableColumn id="34" xr3:uid="{251622F6-01E1-4692-9674-52868B0CD94D}" name="Bonus LKC" dataDxfId="28">
      <calculatedColumnFormula>IF(Table13[[#This Row],[Zeit LKC]]&gt;0,SUM(IF(Table13[[#This Row],[Alter]]&gt;40,(Table13[[#This Row],[Alter]]-40)*4,0),IF(AND(Table13[[#This Row],[Alter]]&lt;20,Table13[[#This Row],[Alter]]&gt;0),(20-Table13[[#This Row],[Alter]])*10,0)),0)</calculatedColumnFormula>
    </tableColumn>
    <tableColumn id="33" xr3:uid="{B20DE94B-CF2D-4E1D-8191-6354E5DF3AD3}" name="Gesamt LKC" dataDxfId="27">
      <calculatedColumnFormula>(Table13[[#This Row],[Punkte LKC]]+Table13[[#This Row],[Bonus LKC]])</calculatedColumnFormula>
    </tableColumn>
    <tableColumn id="35" xr3:uid="{CE71AA1A-4011-42C8-AEC0-93EBB20EE8BC}" name="Bonuspl. LKC" dataDxfId="26">
      <calculatedColumnFormula>IF(Table13[[#This Row],[Zeit LKC]]&gt;0,_xlfn.RANK.EQ(Table13[[#This Row],[Gesamt LKC]],Table13[Gesamt LKC],0)," ")</calculatedColumnFormula>
    </tableColumn>
    <tableColumn id="16" xr3:uid="{F6B4B39C-8598-4854-8D1D-A9C8AECABF4E}" name="Punkte Ski" dataDxfId="25">
      <calculatedColumnFormula>MAX( S3,M3)</calculatedColumnFormula>
    </tableColumn>
    <tableColumn id="18" xr3:uid="{B2E13CD8-9B32-428E-A432-304C6FD32D5B}" name="Zeit S&amp;R" dataDxfId="24"/>
    <tableColumn id="19" xr3:uid="{95AB0379-65A5-49F9-B6EE-D68A70D62BA8}" name="Platz S&amp;R" dataDxfId="23">
      <calculatedColumnFormula>IF(Table13[[#This Row],[Zeit S&amp;R]]&gt;0,_xlfn.RANK.EQ(Table13[[#This Row],[Punkte S&amp;R]],Table13[Punkte S&amp;R],0)," ")</calculatedColumnFormula>
    </tableColumn>
    <tableColumn id="20" xr3:uid="{5B9EF6AB-E2BB-437B-A315-D55ADA598DDA}" name="Punkte S&amp;R" dataDxfId="22">
      <calculatedColumnFormula>IF(Table13[[#This Row],[Zeit S&amp;R]]&gt;0,MIN(Table13[Zeit S&amp;R])/Table13[[#This Row],[Zeit S&amp;R]]*1000,0)</calculatedColumnFormula>
    </tableColumn>
    <tableColumn id="21" xr3:uid="{6718996B-CE4A-40E9-9001-6EB546C5BE9A}" name="Bonus S&amp;R" dataDxfId="21">
      <calculatedColumnFormula>IF(Table13[[#This Row],[Zeit S&amp;R]]&gt;0,SUM(IF(Table13[[#This Row],[Alter]]&gt;40,(Table13[[#This Row],[Alter]]-40)*4,0),IF(AND(Table13[[#This Row],[Alter]]&lt;20,Table13[[#This Row],[Alter]]&gt;0),(20-Table13[[#This Row],[Alter]])*10,0)),0)</calculatedColumnFormula>
    </tableColumn>
    <tableColumn id="13" xr3:uid="{D12DF116-2C03-4104-AA8A-5B0176EABB82}" name="Gesamt S&amp;R" dataDxfId="20">
      <calculatedColumnFormula>(Table13[[#This Row],[Punkte S&amp;R]]+Table13[[#This Row],[Bonus S&amp;R]])</calculatedColumnFormula>
    </tableColumn>
    <tableColumn id="23" xr3:uid="{A2BE7850-11E5-4C33-8E18-32B057C66454}" name="Bonuspl.  S&amp;R" dataDxfId="19">
      <calculatedColumnFormula>IF(Table13[[#This Row],[Zeit S&amp;R]]&gt;0,_xlfn.RANK.EQ(Table13[[#This Row],[Gesamt S&amp;R]],Table13[Gesamt S&amp;R],0)," ")</calculatedColumnFormula>
    </tableColumn>
    <tableColumn id="27" xr3:uid="{18047CC7-6432-453E-96DA-297494330085}" name="Zeit LC" dataDxfId="18"/>
    <tableColumn id="29" xr3:uid="{53240DCB-31E8-422E-B6BF-B7914682E40B}" name="Platz LC" dataDxfId="17">
      <calculatedColumnFormula>IF(Table13[[#This Row],[Zeit LC]]&gt;0,_xlfn.RANK.EQ(Table13[[#This Row],[Punkte LC]],Table13[Punkte LC],0)," ")</calculatedColumnFormula>
    </tableColumn>
    <tableColumn id="31" xr3:uid="{B55B7CC2-5FD3-4A63-8E43-8781DE46E1C9}" name="Punkte LC" dataDxfId="16">
      <calculatedColumnFormula>IF(Table13[[#This Row],[Zeit LC]]&gt;0,MIN(Table13[Zeit LC])/Table13[[#This Row],[Zeit LC]]*1000,0)</calculatedColumnFormula>
    </tableColumn>
    <tableColumn id="30" xr3:uid="{1A1653B8-AD6D-42CB-BD28-4CE28E8FA138}" name="Bonus LC" dataDxfId="15">
      <calculatedColumnFormula>IF(Table13[[#This Row],[Zeit LC]]&gt;0,SUM(IF(Table13[[#This Row],[Alter]]&gt;40,(Table13[[#This Row],[Alter]]-40)*4,0),IF(AND(Table13[[#This Row],[Alter]]&lt;20,Table13[[#This Row],[Alter]]&gt;0),(20-Table13[[#This Row],[Alter]])*10,0)),0)</calculatedColumnFormula>
    </tableColumn>
    <tableColumn id="32" xr3:uid="{E488C9DB-CA13-42C1-8CF1-4F80525CA36D}" name="Gesamt LC" dataDxfId="14">
      <calculatedColumnFormula>(Table13[[#This Row],[Punkte LC]]+Table13[[#This Row],[Bonus LC]])</calculatedColumnFormula>
    </tableColumn>
    <tableColumn id="28" xr3:uid="{F8F1E881-6487-4C95-9404-4D2145414239}" name="Bonuspl. LC" dataDxfId="13">
      <calculatedColumnFormula>IF(Table13[[#This Row],[Zeit LC]]&gt;0,_xlfn.RANK.EQ(Table13[[#This Row],[Gesamt LC]],Table13[Gesamt LC],0)," ")</calculatedColumnFormula>
    </tableColumn>
    <tableColumn id="41" xr3:uid="{737E96B1-42BC-4B86-BBC6-3370E4DF6CEC}" name="Punkte Triathlon" dataDxfId="12">
      <calculatedColumnFormula>MAX( Z3,AF3)</calculatedColumnFormula>
    </tableColumn>
    <tableColumn id="47" xr3:uid="{2A87E957-05BF-466A-A722-6C21D31097F4}" name="Zeit BZF" dataDxfId="11"/>
    <tableColumn id="46" xr3:uid="{44011D30-9D3A-4899-A3E4-B6E8CC468EF4}" name="Platz BZF" dataDxfId="10">
      <calculatedColumnFormula>IF(Table13[[#This Row],[Zeit BZF]]&gt;0,_xlfn.RANK.EQ(Table13[[#This Row],[Punkte BZF]],Table13[Punkte BZF],0)," ")</calculatedColumnFormula>
    </tableColumn>
    <tableColumn id="45" xr3:uid="{1212E4E5-2F53-4A68-951D-65EDE2045EEF}" name="Punkte BZF" dataDxfId="9">
      <calculatedColumnFormula>IF(Table13[[#This Row],[Zeit BZF]]&gt;0,MIN(Table13[Zeit BZF])/Table13[[#This Row],[Zeit BZF]]*1000,0)</calculatedColumnFormula>
    </tableColumn>
    <tableColumn id="44" xr3:uid="{C3A836EF-2C99-4D0D-BF55-D1AB153EEECC}" name="Bonus BZF" dataDxfId="8">
      <calculatedColumnFormula>IF(Table13[[#This Row],[Zeit BZF]]&gt;0,SUM(IF(Table13[[#This Row],[Alter]]&gt;40,(Table13[[#This Row],[Alter]]-40)*4,0),IF(AND(Table13[[#This Row],[Alter]]&lt;20,Table13[[#This Row],[Alter]]&gt;0),(20-Table13[[#This Row],[Alter]])*10,0)),0)</calculatedColumnFormula>
    </tableColumn>
    <tableColumn id="43" xr3:uid="{FCD417A8-78EB-46E0-9D3E-A277CF9FF04F}" name="Gesamt BZF" dataDxfId="7">
      <calculatedColumnFormula>(Table13[[#This Row],[Punkte BZF]]+Table13[[#This Row],[Bonus BZF]])</calculatedColumnFormula>
    </tableColumn>
    <tableColumn id="42" xr3:uid="{DE338A24-A7E0-4EA9-8065-9E96C20A3BA0}" name="Bonuspl.  BZF" dataDxfId="6">
      <calculatedColumnFormula>IF(Table13[[#This Row],[Zeit BZF]]&gt;0,_xlfn.RANK.EQ(Table13[[#This Row],[Gesamt BZF]],Table13[Gesamt BZF],0)," ")</calculatedColumnFormula>
    </tableColumn>
    <tableColumn id="40" xr3:uid="{B8D771BA-D2FA-44BB-8EA7-331F8C07B421}" name="Zeit EZF" dataDxfId="5"/>
    <tableColumn id="39" xr3:uid="{92B631E6-FE47-4B5F-A3E6-A6DB4BED3830}" name="Platz EZF" dataDxfId="4">
      <calculatedColumnFormula>IF(Table13[[#This Row],[Zeit EZF]]&gt;0,_xlfn.RANK.EQ(Table13[[#This Row],[Punkte EZF]],Table13[Punkte EZF],0)," ")</calculatedColumnFormula>
    </tableColumn>
    <tableColumn id="38" xr3:uid="{1427CCD9-8CB3-44A4-B576-90D067F956EC}" name="Punkte EZF" dataDxfId="3">
      <calculatedColumnFormula>IF(Table13[[#This Row],[Zeit EZF]]&gt;0,MIN(Table13[Zeit EZF])/Table13[[#This Row],[Zeit EZF]]*1000,0)</calculatedColumnFormula>
    </tableColumn>
    <tableColumn id="24" xr3:uid="{C8C6435F-4A5E-4E9C-B6DD-6593D5F2952B}" name="Bonus EZF" dataDxfId="2">
      <calculatedColumnFormula>IF(Table13[[#This Row],[Zeit EZF]]&gt;0,SUM(IF(Table13[[#This Row],[Alter]]&gt;40,(Table13[[#This Row],[Alter]]-40)*4,0),IF(AND(Table13[[#This Row],[Alter]]&lt;20,Table13[[#This Row],[Alter]]&gt;0),(20-Table13[[#This Row],[Alter]])*10,0)),0)</calculatedColumnFormula>
    </tableColumn>
    <tableColumn id="4" xr3:uid="{E288C0A9-8252-414A-91E1-4F251FA5B24F}" name="Gesamt EZF" dataDxfId="1">
      <calculatedColumnFormula>(Table13[[#This Row],[Punkte EZF]]+Table13[[#This Row],[Bonus EZF]])</calculatedColumnFormula>
    </tableColumn>
    <tableColumn id="17" xr3:uid="{D3BF4787-7FFC-4AA5-819A-C2EF96CE2DE2}" name="Bonuspl.  EZF" dataDxfId="0">
      <calculatedColumnFormula>IF(Table13[[#This Row],[Zeit EZF]]&gt;0,_xlfn.RANK.EQ(Table13[[#This Row],[Gesamt EZF]],Table13[Gesamt EZF],0)," ")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6"/>
  <sheetViews>
    <sheetView tabSelected="1" zoomScale="85" zoomScaleNormal="85" workbookViewId="0">
      <pane xSplit="1" topLeftCell="B1" activePane="topRight" state="frozen"/>
      <selection pane="topRight" activeCell="A16" sqref="A16"/>
    </sheetView>
  </sheetViews>
  <sheetFormatPr defaultColWidth="9.140625" defaultRowHeight="15" x14ac:dyDescent="0.25"/>
  <cols>
    <col min="1" max="1" width="11.85546875" customWidth="1"/>
    <col min="2" max="2" width="10" bestFit="1" customWidth="1"/>
    <col min="3" max="3" width="10" hidden="1" customWidth="1"/>
    <col min="4" max="4" width="5" bestFit="1" customWidth="1"/>
    <col min="5" max="5" width="5" customWidth="1"/>
    <col min="6" max="6" width="2.5703125" customWidth="1"/>
    <col min="7" max="7" width="11.42578125" bestFit="1" customWidth="1"/>
    <col min="8" max="8" width="12.7109375" customWidth="1"/>
    <col min="9" max="9" width="8.28515625" customWidth="1"/>
    <col min="10" max="10" width="7.28515625" customWidth="1"/>
    <col min="11" max="11" width="8.7109375" customWidth="1"/>
    <col min="12" max="12" width="8.140625" customWidth="1"/>
    <col min="13" max="13" width="11.7109375" customWidth="1"/>
    <col min="14" max="14" width="9.85546875" customWidth="1"/>
    <col min="15" max="15" width="7.85546875" customWidth="1"/>
    <col min="16" max="16" width="7.28515625" customWidth="1"/>
    <col min="17" max="19" width="9" customWidth="1"/>
    <col min="20" max="20" width="10.28515625" customWidth="1"/>
    <col min="21" max="21" width="8.28515625" customWidth="1"/>
    <col min="22" max="22" width="8" customWidth="1"/>
    <col min="23" max="23" width="9.140625" customWidth="1"/>
    <col min="24" max="24" width="10.5703125" customWidth="1"/>
    <col min="25" max="25" width="10" customWidth="1"/>
    <col min="26" max="27" width="11.28515625" customWidth="1"/>
    <col min="28" max="28" width="8.5703125" customWidth="1"/>
    <col min="29" max="29" width="8.7109375" customWidth="1"/>
    <col min="30" max="30" width="7.85546875" customWidth="1"/>
    <col min="31" max="31" width="9.85546875" customWidth="1"/>
    <col min="32" max="32" width="8.5703125" customWidth="1"/>
    <col min="33" max="34" width="9" customWidth="1"/>
    <col min="35" max="35" width="8" customWidth="1"/>
    <col min="36" max="36" width="9.140625" customWidth="1"/>
    <col min="37" max="37" width="10.5703125" customWidth="1"/>
    <col min="38" max="38" width="10" customWidth="1"/>
    <col min="39" max="40" width="11.28515625" customWidth="1"/>
    <col min="41" max="41" width="8" customWidth="1"/>
    <col min="42" max="42" width="9.140625" customWidth="1"/>
    <col min="43" max="43" width="10.5703125" customWidth="1"/>
    <col min="44" max="44" width="10" customWidth="1"/>
    <col min="45" max="46" width="11.28515625" customWidth="1"/>
    <col min="47" max="47" width="9" customWidth="1"/>
  </cols>
  <sheetData>
    <row r="1" spans="1:47" x14ac:dyDescent="0.25">
      <c r="A1" s="2"/>
      <c r="B1" s="2"/>
      <c r="C1" s="2"/>
      <c r="D1" s="2"/>
      <c r="E1" s="2"/>
      <c r="F1" s="2"/>
      <c r="G1" s="41" t="s">
        <v>39</v>
      </c>
      <c r="H1" s="42"/>
      <c r="I1" s="45" t="s">
        <v>131</v>
      </c>
      <c r="J1" s="45"/>
      <c r="K1" s="45"/>
      <c r="L1" s="45"/>
      <c r="M1" s="45"/>
      <c r="N1" s="45"/>
      <c r="O1" s="48" t="s">
        <v>113</v>
      </c>
      <c r="P1" s="48"/>
      <c r="Q1" s="48"/>
      <c r="R1" s="48"/>
      <c r="S1" s="48"/>
      <c r="T1" s="48"/>
      <c r="U1" s="22" t="s">
        <v>36</v>
      </c>
      <c r="V1" s="46" t="s">
        <v>20</v>
      </c>
      <c r="W1" s="46"/>
      <c r="X1" s="46"/>
      <c r="Y1" s="46"/>
      <c r="Z1" s="46"/>
      <c r="AA1" s="46"/>
      <c r="AB1" s="47" t="s">
        <v>26</v>
      </c>
      <c r="AC1" s="47"/>
      <c r="AD1" s="47"/>
      <c r="AE1" s="47"/>
      <c r="AF1" s="47"/>
      <c r="AG1" s="47"/>
      <c r="AH1" s="22" t="s">
        <v>37</v>
      </c>
      <c r="AI1" s="44" t="s">
        <v>40</v>
      </c>
      <c r="AJ1" s="44"/>
      <c r="AK1" s="44"/>
      <c r="AL1" s="44"/>
      <c r="AM1" s="44"/>
      <c r="AN1" s="44"/>
      <c r="AO1" s="43" t="s">
        <v>49</v>
      </c>
      <c r="AP1" s="43"/>
      <c r="AQ1" s="43"/>
      <c r="AR1" s="43"/>
      <c r="AS1" s="43"/>
      <c r="AT1" s="43"/>
      <c r="AU1" s="22" t="s">
        <v>47</v>
      </c>
    </row>
    <row r="2" spans="1:47" x14ac:dyDescent="0.25">
      <c r="A2" s="3" t="s">
        <v>0</v>
      </c>
      <c r="B2" s="3" t="s">
        <v>1</v>
      </c>
      <c r="C2" s="3" t="s">
        <v>17</v>
      </c>
      <c r="D2" s="3" t="s">
        <v>16</v>
      </c>
      <c r="E2" s="3" t="s">
        <v>18</v>
      </c>
      <c r="F2" s="3" t="s">
        <v>27</v>
      </c>
      <c r="G2" s="3" t="s">
        <v>2</v>
      </c>
      <c r="H2" s="3" t="s">
        <v>21</v>
      </c>
      <c r="I2" s="3" t="s">
        <v>3</v>
      </c>
      <c r="J2" s="3" t="s">
        <v>4</v>
      </c>
      <c r="K2" s="3" t="s">
        <v>5</v>
      </c>
      <c r="L2" s="3" t="s">
        <v>6</v>
      </c>
      <c r="M2" s="3" t="s">
        <v>7</v>
      </c>
      <c r="N2" s="3" t="s">
        <v>8</v>
      </c>
      <c r="O2" s="3" t="s">
        <v>28</v>
      </c>
      <c r="P2" s="3" t="s">
        <v>29</v>
      </c>
      <c r="Q2" s="3" t="s">
        <v>30</v>
      </c>
      <c r="R2" s="3" t="s">
        <v>31</v>
      </c>
      <c r="S2" s="3" t="s">
        <v>32</v>
      </c>
      <c r="T2" s="3" t="s">
        <v>33</v>
      </c>
      <c r="U2" s="3" t="s">
        <v>35</v>
      </c>
      <c r="V2" s="3" t="s">
        <v>9</v>
      </c>
      <c r="W2" s="3" t="s">
        <v>10</v>
      </c>
      <c r="X2" s="3" t="s">
        <v>11</v>
      </c>
      <c r="Y2" s="3" t="s">
        <v>12</v>
      </c>
      <c r="Z2" s="3" t="s">
        <v>19</v>
      </c>
      <c r="AA2" s="3" t="s">
        <v>13</v>
      </c>
      <c r="AB2" s="3" t="s">
        <v>14</v>
      </c>
      <c r="AC2" s="3" t="s">
        <v>22</v>
      </c>
      <c r="AD2" s="3" t="s">
        <v>23</v>
      </c>
      <c r="AE2" s="3" t="s">
        <v>24</v>
      </c>
      <c r="AF2" s="3" t="s">
        <v>25</v>
      </c>
      <c r="AG2" s="3" t="s">
        <v>15</v>
      </c>
      <c r="AH2" s="3" t="s">
        <v>38</v>
      </c>
      <c r="AI2" s="3" t="s">
        <v>41</v>
      </c>
      <c r="AJ2" s="3" t="s">
        <v>42</v>
      </c>
      <c r="AK2" s="3" t="s">
        <v>43</v>
      </c>
      <c r="AL2" s="3" t="s">
        <v>44</v>
      </c>
      <c r="AM2" s="3" t="s">
        <v>45</v>
      </c>
      <c r="AN2" s="3" t="s">
        <v>46</v>
      </c>
      <c r="AO2" s="3" t="s">
        <v>50</v>
      </c>
      <c r="AP2" s="3" t="s">
        <v>51</v>
      </c>
      <c r="AQ2" s="3" t="s">
        <v>52</v>
      </c>
      <c r="AR2" s="3" t="s">
        <v>53</v>
      </c>
      <c r="AS2" s="3" t="s">
        <v>54</v>
      </c>
      <c r="AT2" s="3" t="s">
        <v>55</v>
      </c>
      <c r="AU2" s="24" t="s">
        <v>48</v>
      </c>
    </row>
    <row r="3" spans="1:47" x14ac:dyDescent="0.25">
      <c r="A3" s="1" t="s">
        <v>119</v>
      </c>
      <c r="B3" s="1" t="s">
        <v>124</v>
      </c>
      <c r="C3" s="5"/>
      <c r="D3" s="5">
        <v>1967</v>
      </c>
      <c r="E3" s="6">
        <f>IF(Table1[[#This Row],[JG]],2024-Table1[[#This Row],[JG]],0)</f>
        <v>57</v>
      </c>
      <c r="F3" s="5"/>
      <c r="G3" s="49">
        <f t="shared" ref="G3:G16" si="0">SUM(U3, AH3, AU3)</f>
        <v>2087.2390087929653</v>
      </c>
      <c r="H3" s="35">
        <f>_xlfn.RANK.EQ(Table1[[#This Row],[Gesamtpunkte]],Table1[Gesamtpunkte],0)</f>
        <v>1</v>
      </c>
      <c r="I3" s="28"/>
      <c r="J3" s="29" t="str">
        <f>IF(Table1[[#This Row],[Zeit LSC]]&gt;0,_xlfn.RANK.EQ(Table1[[#This Row],[Punkte LSC]],Table1[Punkte LSC],0)," ")</f>
        <v xml:space="preserve"> </v>
      </c>
      <c r="K3" s="30">
        <f>IF(Table1[[#This Row],[Zeit LSC]]&gt;0,MIN(Table1[Zeit LSC])/Table1[[#This Row],[Zeit LSC]]*1000,0)</f>
        <v>0</v>
      </c>
      <c r="L3" s="11">
        <f>IF(Table1[[#This Row],[Zeit LSC]]&gt;0,SUM(IF(Table1[[#This Row],[Alter]]&gt;40,(Table1[[#This Row],[Alter]]-40)*4,0),IF(AND(Table1[[#This Row],[Alter]]&lt;20,Table1[[#This Row],[Alter]]&gt;0),(20-Table1[[#This Row],[Alter]])*10,0)),0)</f>
        <v>0</v>
      </c>
      <c r="M3" s="30">
        <f>(Table1[[#This Row],[Punkte LSC]]+Table1[[#This Row],[Bonus LSC]])</f>
        <v>0</v>
      </c>
      <c r="N3" s="32" t="str">
        <f>IF(Table1[[#This Row],[Zeit LSC]]&gt;0,_xlfn.RANK.EQ(Table1[[#This Row],[Gesamt LSC]],Table1[Gesamt LSC],0)," ")</f>
        <v xml:space="preserve"> </v>
      </c>
      <c r="O3" s="34"/>
      <c r="P3" s="6" t="str">
        <f>IF(Table1[[#This Row],[Zeit LKC]]&gt;0,_xlfn.RANK.EQ(Table1[[#This Row],[Punkte LKC]],Table1[Punkte LKC],0)," ")</f>
        <v xml:space="preserve"> </v>
      </c>
      <c r="Q3" s="16">
        <f>IF(Table1[[#This Row],[Zeit LKC]]&gt;0,MIN(Table1[Zeit LKC])/Table1[[#This Row],[Zeit LKC]]*1000,0)</f>
        <v>0</v>
      </c>
      <c r="R3" s="33">
        <f>IF(Table1[[#This Row],[Zeit LKC]]&gt;0,SUM(IF(Table1[[#This Row],[Alter]]&gt;40,(Table1[[#This Row],[Alter]]-40)*4,0),IF(AND(Table1[[#This Row],[Alter]]&lt;20,Table1[[#This Row],[Alter]]&gt;0),(20-Table1[[#This Row],[Alter]])*10,0)),0)</f>
        <v>0</v>
      </c>
      <c r="S3" s="19">
        <f>(Table1[[#This Row],[Punkte LKC]]+Table1[[#This Row],[Bonus LKC]])</f>
        <v>0</v>
      </c>
      <c r="T3" s="25" t="str">
        <f>IF(Table1[[#This Row],[Zeit LKC]]&gt;0,_xlfn.RANK.EQ(Table1[[#This Row],[Gesamt LKC]],Table1[Gesamt LKC],0)," ")</f>
        <v xml:space="preserve"> </v>
      </c>
      <c r="U3" s="23">
        <f t="shared" ref="U3:U16" si="1">MAX( S3,M3)</f>
        <v>0</v>
      </c>
      <c r="V3" s="14">
        <v>4.5196759259259256E-2</v>
      </c>
      <c r="W3" s="12">
        <f>IF(Table1[[#This Row],[Zeit S&amp;R]]&gt;0,_xlfn.RANK.EQ(Table1[[#This Row],[Punkte S&amp;R]],Table1[Punkte S&amp;R],0)," ")</f>
        <v>6</v>
      </c>
      <c r="X3" s="10">
        <f>IF(Table1[[#This Row],[Zeit S&amp;R]]&gt;0,MIN(Table1[Zeit S&amp;R])/Table1[[#This Row],[Zeit S&amp;R]]*1000,0)</f>
        <v>750.06402048655582</v>
      </c>
      <c r="Y3" s="11">
        <f>IF(Table1[[#This Row],[Zeit S&amp;R]]&gt;0,SUM(IF(Table1[[#This Row],[Alter]]&gt;40,(Table1[[#This Row],[Alter]]-40)*4,0),IF(AND(Table1[[#This Row],[Alter]]&lt;20,Table1[[#This Row],[Alter]]&gt;0),(20-Table1[[#This Row],[Alter]])*10,0)),0)</f>
        <v>68</v>
      </c>
      <c r="Z3" s="10">
        <f>(Table1[[#This Row],[Punkte S&amp;R]]+Table1[[#This Row],[Bonus S&amp;R]])</f>
        <v>818.06402048655582</v>
      </c>
      <c r="AA3" s="21">
        <f>IF(Table1[[#This Row],[Zeit S&amp;R]]&gt;0,_xlfn.RANK.EQ(Table1[[#This Row],[Gesamt S&amp;R]],Table1[Gesamt S&amp;R],0)," ")</f>
        <v>4</v>
      </c>
      <c r="AB3" s="14">
        <v>9.0057870370370371E-2</v>
      </c>
      <c r="AC3" s="21">
        <f>IF(Table1[[#This Row],[Zeit LC]]&gt;0,_xlfn.RANK.EQ(Table1[[#This Row],[Punkte LC]],Table1[Punkte LC],0)," ")</f>
        <v>1</v>
      </c>
      <c r="AD3" s="10">
        <f>IF(Table1[[#This Row],[Zeit LC]]&gt;0,MIN(Table1[Zeit LC])/Table1[[#This Row],[Zeit LC]]*1000,0)</f>
        <v>1000</v>
      </c>
      <c r="AE3" s="10">
        <f>IF(Table1[[#This Row],[Zeit LC]]&gt;0,SUM(IF(Table1[[#This Row],[Alter]]&gt;40,(Table1[[#This Row],[Alter]]-40)*4,0),IF(AND(Table1[[#This Row],[Alter]]&lt;20,Table1[[#This Row],[Alter]]&gt;0),(20-Table1[[#This Row],[Alter]])*10,0)),0)</f>
        <v>68</v>
      </c>
      <c r="AF3" s="10">
        <f>(Table1[[#This Row],[Punkte LC]]+Table1[[#This Row],[Bonus LC]])</f>
        <v>1068</v>
      </c>
      <c r="AG3" s="21">
        <f>IF(Table1[[#This Row],[Zeit LC]]&gt;0,_xlfn.RANK.EQ(Table1[[#This Row],[Gesamt LC]],Table1[Gesamt LC],0)," ")</f>
        <v>1</v>
      </c>
      <c r="AH3" s="23">
        <f t="shared" ref="AH3:AH16" si="2">MAX( Z3,AF3)</f>
        <v>1068</v>
      </c>
      <c r="AI3" s="14"/>
      <c r="AJ3" s="12" t="str">
        <f>IF(Table1[[#This Row],[Zeit BZF]]&gt;0,_xlfn.RANK.EQ(Table1[[#This Row],[Punkte BZF]],Table1[Punkte BZF],0)," ")</f>
        <v xml:space="preserve"> </v>
      </c>
      <c r="AK3" s="10">
        <f>IF(Table1[[#This Row],[Zeit BZF]]&gt;0,MIN(Table1[Zeit BZF])/Table1[[#This Row],[Zeit BZF]]*1000,0)</f>
        <v>0</v>
      </c>
      <c r="AL3" s="11">
        <f>IF(Table1[[#This Row],[Zeit BZF]]&gt;0,SUM(IF(Table1[[#This Row],[Alter]]&gt;40,(Table1[[#This Row],[Alter]]-40)*4,0),IF(AND(Table1[[#This Row],[Alter]]&lt;20,Table1[[#This Row],[Alter]]&gt;0),(20-Table1[[#This Row],[Alter]])*10,0)),0)</f>
        <v>0</v>
      </c>
      <c r="AM3" s="10">
        <f>(Table1[[#This Row],[Punkte BZF]]+Table1[[#This Row],[Bonus BZF]])</f>
        <v>0</v>
      </c>
      <c r="AN3" s="21" t="str">
        <f>IF(Table1[[#This Row],[Zeit BZF]]&gt;0,_xlfn.RANK.EQ(Table1[[#This Row],[Gesamt BZF]],Table1[Gesamt BZF],0)," ")</f>
        <v xml:space="preserve"> </v>
      </c>
      <c r="AO3" s="14">
        <v>2.8958333333333336E-2</v>
      </c>
      <c r="AP3" s="12">
        <f>IF(Table1[[#This Row],[Zeit EZF]]&gt;0,_xlfn.RANK.EQ(Table1[[#This Row],[Punkte EZF]],Table1[Punkte EZF],0)," ")</f>
        <v>2</v>
      </c>
      <c r="AQ3" s="10">
        <f>IF(Table1[[#This Row],[Zeit EZF]]&gt;0,MIN(Table1[Zeit EZF])/Table1[[#This Row],[Zeit EZF]]*1000,0)</f>
        <v>951.23900879296548</v>
      </c>
      <c r="AR3" s="11">
        <f>IF(Table1[[#This Row],[Zeit EZF]]&gt;0,SUM(IF(Table1[[#This Row],[Alter]]&gt;40,(Table1[[#This Row],[Alter]]-40)*4,0),IF(AND(Table1[[#This Row],[Alter]]&lt;20,Table1[[#This Row],[Alter]]&gt;0),(20-Table1[[#This Row],[Alter]])*10,0)),0)</f>
        <v>68</v>
      </c>
      <c r="AS3" s="10">
        <f>(Table1[[#This Row],[Punkte EZF]]+Table1[[#This Row],[Bonus EZF]])</f>
        <v>1019.2390087929655</v>
      </c>
      <c r="AT3" s="21">
        <f>IF(Table1[[#This Row],[Zeit EZF]]&gt;0,_xlfn.RANK.EQ(Table1[[#This Row],[Gesamt EZF]],Table1[Gesamt EZF],0)," ")</f>
        <v>2</v>
      </c>
      <c r="AU3" s="26">
        <f>MAX( AM3,AS3)</f>
        <v>1019.2390087929655</v>
      </c>
    </row>
    <row r="4" spans="1:47" x14ac:dyDescent="0.25">
      <c r="A4" s="27" t="s">
        <v>138</v>
      </c>
      <c r="B4" s="1" t="s">
        <v>139</v>
      </c>
      <c r="C4" s="5"/>
      <c r="D4" s="5">
        <v>1996</v>
      </c>
      <c r="E4" s="6">
        <f>IF(Table1[[#This Row],[JG]],2024-Table1[[#This Row],[JG]],0)</f>
        <v>28</v>
      </c>
      <c r="F4" s="5"/>
      <c r="G4" s="49">
        <f t="shared" si="0"/>
        <v>1510.4113757675768</v>
      </c>
      <c r="H4" s="39">
        <f>_xlfn.RANK.EQ(Table1[[#This Row],[Gesamtpunkte]],Table1[Gesamtpunkte],0)</f>
        <v>2</v>
      </c>
      <c r="I4" s="28"/>
      <c r="J4" s="29" t="str">
        <f>IF(Table1[[#This Row],[Zeit LSC]]&gt;0,_xlfn.RANK.EQ(Table1[[#This Row],[Punkte LSC]],Table1[Punkte LSC],0)," ")</f>
        <v xml:space="preserve"> </v>
      </c>
      <c r="K4" s="30">
        <f>IF(Table1[[#This Row],[Zeit LSC]]&gt;0,MIN(Table1[Zeit LSC])/Table1[[#This Row],[Zeit LSC]]*1000,0)</f>
        <v>0</v>
      </c>
      <c r="L4" s="31">
        <f>IF(Table1[[#This Row],[Zeit LSC]]&gt;0,SUM(IF(Table1[[#This Row],[Alter]]&gt;40,(Table1[[#This Row],[Alter]]-40)*4,0),IF(AND(Table1[[#This Row],[Alter]]&lt;20,Table1[[#This Row],[Alter]]&gt;0),(20-Table1[[#This Row],[Alter]])*10,0)),0)</f>
        <v>0</v>
      </c>
      <c r="M4" s="30">
        <f>(Table1[[#This Row],[Punkte LSC]]+Table1[[#This Row],[Bonus LSC]])</f>
        <v>0</v>
      </c>
      <c r="N4" s="32" t="str">
        <f>IF(Table1[[#This Row],[Zeit LSC]]&gt;0,_xlfn.RANK.EQ(Table1[[#This Row],[Gesamt LSC]],Table1[Gesamt LSC],0)," ")</f>
        <v xml:space="preserve"> </v>
      </c>
      <c r="O4" s="5"/>
      <c r="P4" s="6" t="str">
        <f>IF(Table1[[#This Row],[Zeit LKC]]&gt;0,_xlfn.RANK.EQ(Table1[[#This Row],[Punkte LKC]],Table1[Punkte LKC],0)," ")</f>
        <v xml:space="preserve"> </v>
      </c>
      <c r="Q4" s="16">
        <f>IF(Table1[[#This Row],[Zeit LKC]]&gt;0,MIN(Table1[Zeit LKC])/Table1[[#This Row],[Zeit LKC]]*1000,0)</f>
        <v>0</v>
      </c>
      <c r="R4" s="33">
        <f>IF(Table1[[#This Row],[Zeit LKC]]&gt;0,SUM(IF(Table1[[#This Row],[Alter]]&gt;40,(Table1[[#This Row],[Alter]]-40)*4,0),IF(AND(Table1[[#This Row],[Alter]]&lt;20,Table1[[#This Row],[Alter]]&gt;0),(20-Table1[[#This Row],[Alter]])*10,0)),0)</f>
        <v>0</v>
      </c>
      <c r="S4" s="19">
        <f>(Table1[[#This Row],[Punkte LKC]]+Table1[[#This Row],[Bonus LKC]])</f>
        <v>0</v>
      </c>
      <c r="T4" s="19" t="str">
        <f>IF(Table1[[#This Row],[Zeit LKC]]&gt;0,_xlfn.RANK.EQ(Table1[[#This Row],[Gesamt LKC]],Table1[Gesamt LKC],0)," ")</f>
        <v xml:space="preserve"> </v>
      </c>
      <c r="U4" s="23">
        <f t="shared" si="1"/>
        <v>0</v>
      </c>
      <c r="V4" s="14">
        <v>5.1782407407407409E-2</v>
      </c>
      <c r="W4" s="12">
        <f>IF(Table1[[#This Row],[Zeit S&amp;R]]&gt;0,_xlfn.RANK.EQ(Table1[[#This Row],[Punkte S&amp;R]],Table1[Punkte S&amp;R],0)," ")</f>
        <v>8</v>
      </c>
      <c r="X4" s="10">
        <f>IF(Table1[[#This Row],[Zeit S&amp;R]]&gt;0,MIN(Table1[Zeit S&amp;R])/Table1[[#This Row],[Zeit S&amp;R]]*1000,0)</f>
        <v>654.67143495753248</v>
      </c>
      <c r="Y4" s="11">
        <f>IF(Table1[[#This Row],[Zeit S&amp;R]]&gt;0,SUM(IF(Table1[[#This Row],[Alter]]&gt;40,(Table1[[#This Row],[Alter]]-40)*4,0),IF(AND(Table1[[#This Row],[Alter]]&lt;20,Table1[[#This Row],[Alter]]&gt;0),(20-Table1[[#This Row],[Alter]])*10,0)),0)</f>
        <v>0</v>
      </c>
      <c r="Z4" s="10">
        <f>(Table1[[#This Row],[Punkte S&amp;R]]+Table1[[#This Row],[Bonus S&amp;R]])</f>
        <v>654.67143495753248</v>
      </c>
      <c r="AA4" s="21">
        <f>IF(Table1[[#This Row],[Zeit S&amp;R]]&gt;0,_xlfn.RANK.EQ(Table1[[#This Row],[Gesamt S&amp;R]],Table1[Gesamt S&amp;R],0)," ")</f>
        <v>8</v>
      </c>
      <c r="AB4" s="14">
        <v>0.10016203703703704</v>
      </c>
      <c r="AC4" s="21">
        <f>IF(Table1[[#This Row],[Zeit LC]]&gt;0,_xlfn.RANK.EQ(Table1[[#This Row],[Punkte LC]],Table1[Punkte LC],0)," ")</f>
        <v>2</v>
      </c>
      <c r="AD4" s="10">
        <f>IF(Table1[[#This Row],[Zeit LC]]&gt;0,MIN(Table1[Zeit LC])/Table1[[#This Row],[Zeit LC]]*1000,0)</f>
        <v>899.12179339033969</v>
      </c>
      <c r="AE4" s="10">
        <f>IF(Table1[[#This Row],[Zeit LC]]&gt;0,SUM(IF(Table1[[#This Row],[Alter]]&gt;40,(Table1[[#This Row],[Alter]]-40)*4,0),IF(AND(Table1[[#This Row],[Alter]]&lt;20,Table1[[#This Row],[Alter]]&gt;0),(20-Table1[[#This Row],[Alter]])*10,0)),0)</f>
        <v>0</v>
      </c>
      <c r="AF4" s="10">
        <f>(Table1[[#This Row],[Punkte LC]]+Table1[[#This Row],[Bonus LC]])</f>
        <v>899.12179339033969</v>
      </c>
      <c r="AG4" s="21">
        <f>IF(Table1[[#This Row],[Zeit LC]]&gt;0,_xlfn.RANK.EQ(Table1[[#This Row],[Gesamt LC]],Table1[Gesamt LC],0)," ")</f>
        <v>2</v>
      </c>
      <c r="AH4" s="23">
        <f t="shared" si="2"/>
        <v>899.12179339033969</v>
      </c>
      <c r="AI4" s="14">
        <v>2.521990740740741E-2</v>
      </c>
      <c r="AJ4" s="12">
        <f>IF(Table1[[#This Row],[Zeit BZF]]&gt;0,_xlfn.RANK.EQ(Table1[[#This Row],[Punkte BZF]],Table1[Punkte BZF],0)," ")</f>
        <v>3</v>
      </c>
      <c r="AK4" s="10">
        <f>IF(Table1[[#This Row],[Zeit BZF]]&gt;0,MIN(Table1[Zeit BZF])/Table1[[#This Row],[Zeit BZF]]*1000,0)</f>
        <v>611.28958237723714</v>
      </c>
      <c r="AL4" s="11">
        <f>IF(Table1[[#This Row],[Zeit BZF]]&gt;0,SUM(IF(Table1[[#This Row],[Alter]]&gt;40,(Table1[[#This Row],[Alter]]-40)*4,0),IF(AND(Table1[[#This Row],[Alter]]&lt;20,Table1[[#This Row],[Alter]]&gt;0),(20-Table1[[#This Row],[Alter]])*10,0)),0)</f>
        <v>0</v>
      </c>
      <c r="AM4" s="10">
        <f>(Table1[[#This Row],[Punkte BZF]]+Table1[[#This Row],[Bonus BZF]])</f>
        <v>611.28958237723714</v>
      </c>
      <c r="AN4" s="21">
        <f>IF(Table1[[#This Row],[Zeit BZF]]&gt;0,_xlfn.RANK.EQ(Table1[[#This Row],[Gesamt BZF]],Table1[Gesamt BZF],0)," ")</f>
        <v>3</v>
      </c>
      <c r="AO4" s="14"/>
      <c r="AP4" s="12" t="str">
        <f>IF(Table1[[#This Row],[Zeit EZF]]&gt;0,_xlfn.RANK.EQ(Table1[[#This Row],[Punkte EZF]],Table1[Punkte EZF],0)," ")</f>
        <v xml:space="preserve"> </v>
      </c>
      <c r="AQ4" s="10">
        <f>IF(Table1[[#This Row],[Zeit EZF]]&gt;0,MIN(Table1[Zeit EZF])/Table1[[#This Row],[Zeit EZF]]*1000,0)</f>
        <v>0</v>
      </c>
      <c r="AR4" s="11">
        <f>IF(Table1[[#This Row],[Zeit EZF]]&gt;0,SUM(IF(Table1[[#This Row],[Alter]]&gt;40,(Table1[[#This Row],[Alter]]-40)*4,0),IF(AND(Table1[[#This Row],[Alter]]&lt;20,Table1[[#This Row],[Alter]]&gt;0),(20-Table1[[#This Row],[Alter]])*10,0)),0)</f>
        <v>0</v>
      </c>
      <c r="AS4" s="10">
        <f>(Table1[[#This Row],[Punkte EZF]]+Table1[[#This Row],[Bonus EZF]])</f>
        <v>0</v>
      </c>
      <c r="AT4" s="21" t="str">
        <f>IF(Table1[[#This Row],[Zeit EZF]]&gt;0,_xlfn.RANK.EQ(Table1[[#This Row],[Gesamt EZF]],Table1[Gesamt EZF],0)," ")</f>
        <v xml:space="preserve"> </v>
      </c>
      <c r="AU4" s="26">
        <f t="shared" ref="AU4:AU16" si="3">MAX( AM4,AS4)</f>
        <v>611.28958237723714</v>
      </c>
    </row>
    <row r="5" spans="1:47" x14ac:dyDescent="0.25">
      <c r="A5" s="1" t="s">
        <v>160</v>
      </c>
      <c r="B5" s="1" t="s">
        <v>161</v>
      </c>
      <c r="C5" s="5"/>
      <c r="D5" s="5">
        <v>1973</v>
      </c>
      <c r="E5" s="6">
        <f>IF(Table1[[#This Row],[JG]],2024-Table1[[#This Row],[JG]],0)</f>
        <v>51</v>
      </c>
      <c r="F5" s="5"/>
      <c r="G5" s="49">
        <f t="shared" si="0"/>
        <v>1044</v>
      </c>
      <c r="H5" s="35">
        <f>_xlfn.RANK.EQ(Table1[[#This Row],[Gesamtpunkte]],Table1[Gesamtpunkte],0)</f>
        <v>3</v>
      </c>
      <c r="I5" s="9"/>
      <c r="J5" s="13" t="str">
        <f>IF(Table1[[#This Row],[Zeit LSC]]&gt;0,_xlfn.RANK.EQ(Table1[[#This Row],[Punkte LSC]],Table1[Punkte LSC],0)," ")</f>
        <v xml:space="preserve"> </v>
      </c>
      <c r="K5" s="7">
        <f>IF(Table1[[#This Row],[Zeit LSC]]&gt;0,MIN(Table1[Zeit LSC])/Table1[[#This Row],[Zeit LSC]]*1000,0)</f>
        <v>0</v>
      </c>
      <c r="L5" s="8">
        <f>IF(Table1[[#This Row],[Zeit LSC]]&gt;0,SUM(IF(Table1[[#This Row],[Alter]]&gt;40,(Table1[[#This Row],[Alter]]-40)*4,0),IF(AND(Table1[[#This Row],[Alter]]&lt;20,Table1[[#This Row],[Alter]]&gt;0),(20-Table1[[#This Row],[Alter]])*10,0)),0)</f>
        <v>0</v>
      </c>
      <c r="M5" s="7">
        <f>(Table1[[#This Row],[Punkte LSC]]+Table1[[#This Row],[Bonus LSC]])</f>
        <v>0</v>
      </c>
      <c r="N5" s="15" t="str">
        <f>IF(Table1[[#This Row],[Zeit LSC]]&gt;0,_xlfn.RANK.EQ(Table1[[#This Row],[Gesamt LSC]],Table1[Gesamt LSC],0)," ")</f>
        <v xml:space="preserve"> </v>
      </c>
      <c r="O5" s="14"/>
      <c r="P5" s="6" t="str">
        <f>IF(Table1[[#This Row],[Zeit LKC]]&gt;0,_xlfn.RANK.EQ(Table1[[#This Row],[Punkte LKC]],Table1[Punkte LKC],0)," ")</f>
        <v xml:space="preserve"> </v>
      </c>
      <c r="Q5" s="16">
        <f>IF(Table1[[#This Row],[Zeit LKC]]&gt;0,MIN(Table1[Zeit LKC])/Table1[[#This Row],[Zeit LKC]]*1000,0)</f>
        <v>0</v>
      </c>
      <c r="R5" s="19">
        <f>IF(Table1[[#This Row],[Zeit LKC]]&gt;0,SUM(IF(Table1[[#This Row],[Alter]]&gt;40,(Table1[[#This Row],[Alter]]-40)*4,0),IF(AND(Table1[[#This Row],[Alter]]&lt;20,Table1[[#This Row],[Alter]]&gt;0),(20-Table1[[#This Row],[Alter]])*10,0)),0)</f>
        <v>0</v>
      </c>
      <c r="S5" s="19">
        <f>(Table1[[#This Row],[Punkte LKC]]+Table1[[#This Row],[Bonus LKC]])</f>
        <v>0</v>
      </c>
      <c r="T5" s="25" t="str">
        <f>IF(Table1[[#This Row],[Zeit LKC]]&gt;0,_xlfn.RANK.EQ(Table1[[#This Row],[Gesamt LKC]],Table1[Gesamt LKC],0)," ")</f>
        <v xml:space="preserve"> </v>
      </c>
      <c r="U5" s="23">
        <f t="shared" si="1"/>
        <v>0</v>
      </c>
      <c r="V5" s="14"/>
      <c r="W5" s="12" t="str">
        <f>IF(Table1[[#This Row],[Zeit S&amp;R]]&gt;0,_xlfn.RANK.EQ(Table1[[#This Row],[Punkte S&amp;R]],Table1[Punkte S&amp;R],0)," ")</f>
        <v xml:space="preserve"> </v>
      </c>
      <c r="X5" s="10">
        <f>IF(Table1[[#This Row],[Zeit S&amp;R]]&gt;0,MIN(Table1[Zeit S&amp;R])/Table1[[#This Row],[Zeit S&amp;R]]*1000,0)</f>
        <v>0</v>
      </c>
      <c r="Y5" s="11">
        <f>IF(Table1[[#This Row],[Zeit S&amp;R]]&gt;0,SUM(IF(Table1[[#This Row],[Alter]]&gt;40,(Table1[[#This Row],[Alter]]-40)*4,0),IF(AND(Table1[[#This Row],[Alter]]&lt;20,Table1[[#This Row],[Alter]]&gt;0),(20-Table1[[#This Row],[Alter]])*10,0)),0)</f>
        <v>0</v>
      </c>
      <c r="Z5" s="10">
        <f>(Table1[[#This Row],[Punkte S&amp;R]]+Table1[[#This Row],[Bonus S&amp;R]])</f>
        <v>0</v>
      </c>
      <c r="AA5" s="21" t="str">
        <f>IF(Table1[[#This Row],[Zeit S&amp;R]]&gt;0,_xlfn.RANK.EQ(Table1[[#This Row],[Gesamt S&amp;R]],Table1[Gesamt S&amp;R],0)," ")</f>
        <v xml:space="preserve"> </v>
      </c>
      <c r="AB5" s="14"/>
      <c r="AC5" s="21" t="str">
        <f>IF(Table1[[#This Row],[Zeit LC]]&gt;0,_xlfn.RANK.EQ(Table1[[#This Row],[Punkte LC]],Table1[Punkte LC],0)," ")</f>
        <v xml:space="preserve"> </v>
      </c>
      <c r="AD5" s="10">
        <f>IF(Table1[[#This Row],[Zeit LC]]&gt;0,MIN(Table1[Zeit LC])/Table1[[#This Row],[Zeit LC]]*1000,0)</f>
        <v>0</v>
      </c>
      <c r="AE5" s="10">
        <f>IF(Table1[[#This Row],[Zeit LC]]&gt;0,SUM(IF(Table1[[#This Row],[Alter]]&gt;40,(Table1[[#This Row],[Alter]]-40)*4,0),IF(AND(Table1[[#This Row],[Alter]]&lt;20,Table1[[#This Row],[Alter]]&gt;0),(20-Table1[[#This Row],[Alter]])*10,0)),0)</f>
        <v>0</v>
      </c>
      <c r="AF5" s="10">
        <f>(Table1[[#This Row],[Punkte LC]]+Table1[[#This Row],[Bonus LC]])</f>
        <v>0</v>
      </c>
      <c r="AG5" s="21" t="str">
        <f>IF(Table1[[#This Row],[Zeit LC]]&gt;0,_xlfn.RANK.EQ(Table1[[#This Row],[Gesamt LC]],Table1[Gesamt LC],0)," ")</f>
        <v xml:space="preserve"> </v>
      </c>
      <c r="AH5" s="23">
        <f t="shared" si="2"/>
        <v>0</v>
      </c>
      <c r="AI5" s="14"/>
      <c r="AJ5" s="12" t="str">
        <f>IF(Table1[[#This Row],[Zeit BZF]]&gt;0,_xlfn.RANK.EQ(Table1[[#This Row],[Punkte BZF]],Table1[Punkte BZF],0)," ")</f>
        <v xml:space="preserve"> </v>
      </c>
      <c r="AK5" s="10">
        <f>IF(Table1[[#This Row],[Zeit BZF]]&gt;0,MIN(Table1[Zeit BZF])/Table1[[#This Row],[Zeit BZF]]*1000,0)</f>
        <v>0</v>
      </c>
      <c r="AL5" s="11">
        <f>IF(Table1[[#This Row],[Zeit BZF]]&gt;0,SUM(IF(Table1[[#This Row],[Alter]]&gt;40,(Table1[[#This Row],[Alter]]-40)*4,0),IF(AND(Table1[[#This Row],[Alter]]&lt;20,Table1[[#This Row],[Alter]]&gt;0),(20-Table1[[#This Row],[Alter]])*10,0)),0)</f>
        <v>0</v>
      </c>
      <c r="AM5" s="10">
        <f>(Table1[[#This Row],[Punkte BZF]]+Table1[[#This Row],[Bonus BZF]])</f>
        <v>0</v>
      </c>
      <c r="AN5" s="21" t="str">
        <f>IF(Table1[[#This Row],[Zeit BZF]]&gt;0,_xlfn.RANK.EQ(Table1[[#This Row],[Gesamt BZF]],Table1[Gesamt BZF],0)," ")</f>
        <v xml:space="preserve"> </v>
      </c>
      <c r="AO5" s="14">
        <v>2.7546296296296294E-2</v>
      </c>
      <c r="AP5" s="12">
        <f>IF(Table1[[#This Row],[Zeit EZF]]&gt;0,_xlfn.RANK.EQ(Table1[[#This Row],[Punkte EZF]],Table1[Punkte EZF],0)," ")</f>
        <v>1</v>
      </c>
      <c r="AQ5" s="10">
        <f>IF(Table1[[#This Row],[Zeit EZF]]&gt;0,MIN(Table1[Zeit EZF])/Table1[[#This Row],[Zeit EZF]]*1000,0)</f>
        <v>1000</v>
      </c>
      <c r="AR5" s="11">
        <f>IF(Table1[[#This Row],[Zeit EZF]]&gt;0,SUM(IF(Table1[[#This Row],[Alter]]&gt;40,(Table1[[#This Row],[Alter]]-40)*4,0),IF(AND(Table1[[#This Row],[Alter]]&lt;20,Table1[[#This Row],[Alter]]&gt;0),(20-Table1[[#This Row],[Alter]])*10,0)),0)</f>
        <v>44</v>
      </c>
      <c r="AS5" s="10">
        <f>(Table1[[#This Row],[Punkte EZF]]+Table1[[#This Row],[Bonus EZF]])</f>
        <v>1044</v>
      </c>
      <c r="AT5" s="21">
        <f>IF(Table1[[#This Row],[Zeit EZF]]&gt;0,_xlfn.RANK.EQ(Table1[[#This Row],[Gesamt EZF]],Table1[Gesamt EZF],0)," ")</f>
        <v>1</v>
      </c>
      <c r="AU5" s="26">
        <f t="shared" si="3"/>
        <v>1044</v>
      </c>
    </row>
    <row r="6" spans="1:47" x14ac:dyDescent="0.25">
      <c r="A6" s="1" t="s">
        <v>142</v>
      </c>
      <c r="B6" s="1" t="s">
        <v>143</v>
      </c>
      <c r="C6" s="5"/>
      <c r="D6" s="5">
        <v>1995</v>
      </c>
      <c r="E6" s="6">
        <f>IF(Table1[[#This Row],[JG]],2024-Table1[[#This Row],[JG]],0)</f>
        <v>29</v>
      </c>
      <c r="F6" s="5"/>
      <c r="G6" s="49">
        <f t="shared" si="0"/>
        <v>1000</v>
      </c>
      <c r="H6" s="35">
        <f>_xlfn.RANK.EQ(Table1[[#This Row],[Gesamtpunkte]],Table1[Gesamtpunkte],0)</f>
        <v>4</v>
      </c>
      <c r="I6" s="9">
        <v>2.1967592592592594E-2</v>
      </c>
      <c r="J6" s="36">
        <f>IF(Table1[[#This Row],[Zeit LSC]]&gt;0,_xlfn.RANK.EQ(Table1[[#This Row],[Punkte LSC]],Table1[Punkte LSC],0)," ")</f>
        <v>1</v>
      </c>
      <c r="K6" s="7">
        <f>IF(Table1[[#This Row],[Zeit LSC]]&gt;0,MIN(Table1[Zeit LSC])/Table1[[#This Row],[Zeit LSC]]*1000,0)</f>
        <v>1000</v>
      </c>
      <c r="L6" s="8">
        <f>IF(Table1[[#This Row],[Zeit LSC]]&gt;0,SUM(IF(Table1[[#This Row],[Alter]]&gt;40,(Table1[[#This Row],[Alter]]-40)*4,0),IF(AND(Table1[[#This Row],[Alter]]&lt;20,Table1[[#This Row],[Alter]]&gt;0),(20-Table1[[#This Row],[Alter]])*10,0)),0)</f>
        <v>0</v>
      </c>
      <c r="M6" s="7">
        <f>(Table1[[#This Row],[Punkte LSC]]+Table1[[#This Row],[Bonus LSC]])</f>
        <v>1000</v>
      </c>
      <c r="N6" s="15">
        <f>IF(Table1[[#This Row],[Zeit LSC]]&gt;0,_xlfn.RANK.EQ(Table1[[#This Row],[Gesamt LSC]],Table1[Gesamt LSC],0)," ")</f>
        <v>1</v>
      </c>
      <c r="O6" s="38"/>
      <c r="P6" s="37" t="str">
        <f>IF(Table1[[#This Row],[Zeit LKC]]&gt;0,_xlfn.RANK.EQ(Table1[[#This Row],[Punkte LKC]],Table1[Punkte LKC],0)," ")</f>
        <v xml:space="preserve"> </v>
      </c>
      <c r="Q6" s="16">
        <f>IF(Table1[[#This Row],[Zeit LKC]]&gt;0,MIN(Table1[Zeit LKC])/Table1[[#This Row],[Zeit LKC]]*1000,0)</f>
        <v>0</v>
      </c>
      <c r="R6" s="17">
        <f>IF(Table1[[#This Row],[Zeit LKC]]&gt;0,SUM(IF(Table1[[#This Row],[Alter]]&gt;40,(Table1[[#This Row],[Alter]]-40)*4,0),IF(AND(Table1[[#This Row],[Alter]]&lt;20,Table1[[#This Row],[Alter]]&gt;0),(20-Table1[[#This Row],[Alter]])*10,0)),0)</f>
        <v>0</v>
      </c>
      <c r="S6" s="16">
        <f>(Table1[[#This Row],[Punkte LKC]]+Table1[[#This Row],[Bonus LKC]])</f>
        <v>0</v>
      </c>
      <c r="T6" s="18" t="str">
        <f>IF(Table1[[#This Row],[Zeit LKC]]&gt;0,_xlfn.RANK.EQ(Table1[[#This Row],[Gesamt LKC]],Table1[Gesamt LKC],0)," ")</f>
        <v xml:space="preserve"> </v>
      </c>
      <c r="U6" s="23">
        <f t="shared" si="1"/>
        <v>1000</v>
      </c>
      <c r="V6" s="9"/>
      <c r="W6" s="12" t="str">
        <f>IF(Table1[[#This Row],[Zeit S&amp;R]]&gt;0,_xlfn.RANK.EQ(Table1[[#This Row],[Punkte S&amp;R]],Table1[Punkte S&amp;R],0)," ")</f>
        <v xml:space="preserve"> </v>
      </c>
      <c r="X6" s="10">
        <f>IF(Table1[[#This Row],[Zeit S&amp;R]]&gt;0,MIN(Table1[Zeit S&amp;R])/Table1[[#This Row],[Zeit S&amp;R]]*1000,0)</f>
        <v>0</v>
      </c>
      <c r="Y6" s="11">
        <f>IF(Table1[[#This Row],[Zeit S&amp;R]]&gt;0,SUM(IF(Table1[[#This Row],[Alter]]&gt;40,(Table1[[#This Row],[Alter]]-40)*4,0),IF(AND(Table1[[#This Row],[Alter]]&lt;20,Table1[[#This Row],[Alter]]&gt;0),(20-Table1[[#This Row],[Alter]])*10,0)),0)</f>
        <v>0</v>
      </c>
      <c r="Z6" s="10">
        <f>(Table1[[#This Row],[Punkte S&amp;R]]+Table1[[#This Row],[Bonus S&amp;R]])</f>
        <v>0</v>
      </c>
      <c r="AA6" s="21" t="str">
        <f>IF(Table1[[#This Row],[Zeit S&amp;R]]&gt;0,_xlfn.RANK.EQ(Table1[[#This Row],[Gesamt S&amp;R]],Table1[Gesamt S&amp;R],0)," ")</f>
        <v xml:space="preserve"> </v>
      </c>
      <c r="AB6" s="14"/>
      <c r="AC6" s="21" t="str">
        <f>IF(Table1[[#This Row],[Zeit LC]]&gt;0,_xlfn.RANK.EQ(Table1[[#This Row],[Punkte LC]],Table1[Punkte LC],0)," ")</f>
        <v xml:space="preserve"> </v>
      </c>
      <c r="AD6" s="10">
        <f>IF(Table1[[#This Row],[Zeit LC]]&gt;0,MIN(Table1[Zeit LC])/Table1[[#This Row],[Zeit LC]]*1000,0)</f>
        <v>0</v>
      </c>
      <c r="AE6" s="10">
        <f>IF(Table1[[#This Row],[Zeit LC]]&gt;0,SUM(IF(Table1[[#This Row],[Alter]]&gt;40,(Table1[[#This Row],[Alter]]-40)*4,0),IF(AND(Table1[[#This Row],[Alter]]&lt;20,Table1[[#This Row],[Alter]]&gt;0),(20-Table1[[#This Row],[Alter]])*10,0)),0)</f>
        <v>0</v>
      </c>
      <c r="AF6" s="10">
        <f>(Table1[[#This Row],[Punkte LC]]+Table1[[#This Row],[Bonus LC]])</f>
        <v>0</v>
      </c>
      <c r="AG6" s="21" t="str">
        <f>IF(Table1[[#This Row],[Zeit LC]]&gt;0,_xlfn.RANK.EQ(Table1[[#This Row],[Gesamt LC]],Table1[Gesamt LC],0)," ")</f>
        <v xml:space="preserve"> </v>
      </c>
      <c r="AH6" s="23">
        <f t="shared" si="2"/>
        <v>0</v>
      </c>
      <c r="AI6" s="14"/>
      <c r="AJ6" s="12" t="str">
        <f>IF(Table1[[#This Row],[Zeit BZF]]&gt;0,_xlfn.RANK.EQ(Table1[[#This Row],[Punkte BZF]],Table1[Punkte BZF],0)," ")</f>
        <v xml:space="preserve"> </v>
      </c>
      <c r="AK6" s="10">
        <f>IF(Table1[[#This Row],[Zeit BZF]]&gt;0,MIN(Table1[Zeit BZF])/Table1[[#This Row],[Zeit BZF]]*1000,0)</f>
        <v>0</v>
      </c>
      <c r="AL6" s="11">
        <f>IF(Table1[[#This Row],[Zeit BZF]]&gt;0,SUM(IF(Table1[[#This Row],[Alter]]&gt;40,(Table1[[#This Row],[Alter]]-40)*4,0),IF(AND(Table1[[#This Row],[Alter]]&lt;20,Table1[[#This Row],[Alter]]&gt;0),(20-Table1[[#This Row],[Alter]])*10,0)),0)</f>
        <v>0</v>
      </c>
      <c r="AM6" s="10">
        <f>(Table1[[#This Row],[Punkte BZF]]+Table1[[#This Row],[Bonus BZF]])</f>
        <v>0</v>
      </c>
      <c r="AN6" s="21" t="str">
        <f>IF(Table1[[#This Row],[Zeit BZF]]&gt;0,_xlfn.RANK.EQ(Table1[[#This Row],[Gesamt BZF]],Table1[Gesamt BZF],0)," ")</f>
        <v xml:space="preserve"> </v>
      </c>
      <c r="AO6" s="14"/>
      <c r="AP6" s="12" t="str">
        <f>IF(Table1[[#This Row],[Zeit EZF]]&gt;0,_xlfn.RANK.EQ(Table1[[#This Row],[Punkte EZF]],Table1[Punkte EZF],0)," ")</f>
        <v xml:space="preserve"> </v>
      </c>
      <c r="AQ6" s="10">
        <f>IF(Table1[[#This Row],[Zeit EZF]]&gt;0,MIN(Table1[Zeit EZF])/Table1[[#This Row],[Zeit EZF]]*1000,0)</f>
        <v>0</v>
      </c>
      <c r="AR6" s="11">
        <f>IF(Table1[[#This Row],[Zeit EZF]]&gt;0,SUM(IF(Table1[[#This Row],[Alter]]&gt;40,(Table1[[#This Row],[Alter]]-40)*4,0),IF(AND(Table1[[#This Row],[Alter]]&lt;20,Table1[[#This Row],[Alter]]&gt;0),(20-Table1[[#This Row],[Alter]])*10,0)),0)</f>
        <v>0</v>
      </c>
      <c r="AS6" s="10">
        <f>(Table1[[#This Row],[Punkte EZF]]+Table1[[#This Row],[Bonus EZF]])</f>
        <v>0</v>
      </c>
      <c r="AT6" s="21" t="str">
        <f>IF(Table1[[#This Row],[Zeit EZF]]&gt;0,_xlfn.RANK.EQ(Table1[[#This Row],[Gesamt EZF]],Table1[Gesamt EZF],0)," ")</f>
        <v xml:space="preserve"> </v>
      </c>
      <c r="AU6" s="26">
        <f t="shared" si="3"/>
        <v>0</v>
      </c>
    </row>
    <row r="7" spans="1:47" x14ac:dyDescent="0.25">
      <c r="A7" s="1" t="s">
        <v>157</v>
      </c>
      <c r="B7" s="1" t="s">
        <v>158</v>
      </c>
      <c r="C7" s="5"/>
      <c r="D7" s="5">
        <v>1998</v>
      </c>
      <c r="E7" s="6">
        <f>IF(Table1[[#This Row],[JG]],2024-Table1[[#This Row],[JG]],0)</f>
        <v>26</v>
      </c>
      <c r="F7" s="5"/>
      <c r="G7" s="49">
        <f t="shared" si="0"/>
        <v>1000</v>
      </c>
      <c r="H7" s="35">
        <f>_xlfn.RANK.EQ(Table1[[#This Row],[Gesamtpunkte]],Table1[Gesamtpunkte],0)</f>
        <v>4</v>
      </c>
      <c r="I7" s="9"/>
      <c r="J7" s="13" t="str">
        <f>IF(Table1[[#This Row],[Zeit LSC]]&gt;0,_xlfn.RANK.EQ(Table1[[#This Row],[Punkte LSC]],Table1[Punkte LSC],0)," ")</f>
        <v xml:space="preserve"> </v>
      </c>
      <c r="K7" s="7">
        <f>IF(Table1[[#This Row],[Zeit LSC]]&gt;0,MIN(Table1[Zeit LSC])/Table1[[#This Row],[Zeit LSC]]*1000,0)</f>
        <v>0</v>
      </c>
      <c r="L7" s="8">
        <f>IF(Table1[[#This Row],[Zeit LSC]]&gt;0,SUM(IF(Table1[[#This Row],[Alter]]&gt;40,(Table1[[#This Row],[Alter]]-40)*4,0),IF(AND(Table1[[#This Row],[Alter]]&lt;20,Table1[[#This Row],[Alter]]&gt;0),(20-Table1[[#This Row],[Alter]])*10,0)),0)</f>
        <v>0</v>
      </c>
      <c r="M7" s="7">
        <f>(Table1[[#This Row],[Punkte LSC]]+Table1[[#This Row],[Bonus LSC]])</f>
        <v>0</v>
      </c>
      <c r="N7" s="15" t="str">
        <f>IF(Table1[[#This Row],[Zeit LSC]]&gt;0,_xlfn.RANK.EQ(Table1[[#This Row],[Gesamt LSC]],Table1[Gesamt LSC],0)," ")</f>
        <v xml:space="preserve"> </v>
      </c>
      <c r="O7" s="14"/>
      <c r="P7" s="6" t="str">
        <f>IF(Table1[[#This Row],[Zeit LKC]]&gt;0,_xlfn.RANK.EQ(Table1[[#This Row],[Punkte LKC]],Table1[Punkte LKC],0)," ")</f>
        <v xml:space="preserve"> </v>
      </c>
      <c r="Q7" s="16">
        <f>IF(Table1[[#This Row],[Zeit LKC]]&gt;0,MIN(Table1[Zeit LKC])/Table1[[#This Row],[Zeit LKC]]*1000,0)</f>
        <v>0</v>
      </c>
      <c r="R7" s="19">
        <f>IF(Table1[[#This Row],[Zeit LKC]]&gt;0,SUM(IF(Table1[[#This Row],[Alter]]&gt;40,(Table1[[#This Row],[Alter]]-40)*4,0),IF(AND(Table1[[#This Row],[Alter]]&lt;20,Table1[[#This Row],[Alter]]&gt;0),(20-Table1[[#This Row],[Alter]])*10,0)),0)</f>
        <v>0</v>
      </c>
      <c r="S7" s="19">
        <f>(Table1[[#This Row],[Punkte LKC]]+Table1[[#This Row],[Bonus LKC]])</f>
        <v>0</v>
      </c>
      <c r="T7" s="25" t="str">
        <f>IF(Table1[[#This Row],[Zeit LKC]]&gt;0,_xlfn.RANK.EQ(Table1[[#This Row],[Gesamt LKC]],Table1[Gesamt LKC],0)," ")</f>
        <v xml:space="preserve"> </v>
      </c>
      <c r="U7" s="23">
        <f t="shared" si="1"/>
        <v>0</v>
      </c>
      <c r="V7" s="14">
        <v>3.3900462962962966E-2</v>
      </c>
      <c r="W7" s="12">
        <f>IF(Table1[[#This Row],[Zeit S&amp;R]]&gt;0,_xlfn.RANK.EQ(Table1[[#This Row],[Punkte S&amp;R]],Table1[Punkte S&amp;R],0)," ")</f>
        <v>1</v>
      </c>
      <c r="X7" s="10">
        <f>IF(Table1[[#This Row],[Zeit S&amp;R]]&gt;0,MIN(Table1[Zeit S&amp;R])/Table1[[#This Row],[Zeit S&amp;R]]*1000,0)</f>
        <v>1000</v>
      </c>
      <c r="Y7" s="11">
        <f>IF(Table1[[#This Row],[Zeit S&amp;R]]&gt;0,SUM(IF(Table1[[#This Row],[Alter]]&gt;40,(Table1[[#This Row],[Alter]]-40)*4,0),IF(AND(Table1[[#This Row],[Alter]]&lt;20,Table1[[#This Row],[Alter]]&gt;0),(20-Table1[[#This Row],[Alter]])*10,0)),0)</f>
        <v>0</v>
      </c>
      <c r="Z7" s="10">
        <f>(Table1[[#This Row],[Punkte S&amp;R]]+Table1[[#This Row],[Bonus S&amp;R]])</f>
        <v>1000</v>
      </c>
      <c r="AA7" s="21">
        <f>IF(Table1[[#This Row],[Zeit S&amp;R]]&gt;0,_xlfn.RANK.EQ(Table1[[#This Row],[Gesamt S&amp;R]],Table1[Gesamt S&amp;R],0)," ")</f>
        <v>1</v>
      </c>
      <c r="AB7" s="14"/>
      <c r="AC7" s="21" t="str">
        <f>IF(Table1[[#This Row],[Zeit LC]]&gt;0,_xlfn.RANK.EQ(Table1[[#This Row],[Punkte LC]],Table1[Punkte LC],0)," ")</f>
        <v xml:space="preserve"> </v>
      </c>
      <c r="AD7" s="10">
        <f>IF(Table1[[#This Row],[Zeit LC]]&gt;0,MIN(Table1[Zeit LC])/Table1[[#This Row],[Zeit LC]]*1000,0)</f>
        <v>0</v>
      </c>
      <c r="AE7" s="10">
        <f>IF(Table1[[#This Row],[Zeit LC]]&gt;0,SUM(IF(Table1[[#This Row],[Alter]]&gt;40,(Table1[[#This Row],[Alter]]-40)*4,0),IF(AND(Table1[[#This Row],[Alter]]&lt;20,Table1[[#This Row],[Alter]]&gt;0),(20-Table1[[#This Row],[Alter]])*10,0)),0)</f>
        <v>0</v>
      </c>
      <c r="AF7" s="10">
        <f>(Table1[[#This Row],[Punkte LC]]+Table1[[#This Row],[Bonus LC]])</f>
        <v>0</v>
      </c>
      <c r="AG7" s="21" t="str">
        <f>IF(Table1[[#This Row],[Zeit LC]]&gt;0,_xlfn.RANK.EQ(Table1[[#This Row],[Gesamt LC]],Table1[Gesamt LC],0)," ")</f>
        <v xml:space="preserve"> </v>
      </c>
      <c r="AH7" s="23">
        <f t="shared" si="2"/>
        <v>1000</v>
      </c>
      <c r="AI7" s="14"/>
      <c r="AJ7" s="12" t="str">
        <f>IF(Table1[[#This Row],[Zeit BZF]]&gt;0,_xlfn.RANK.EQ(Table1[[#This Row],[Punkte BZF]],Table1[Punkte BZF],0)," ")</f>
        <v xml:space="preserve"> </v>
      </c>
      <c r="AK7" s="10">
        <f>IF(Table1[[#This Row],[Zeit BZF]]&gt;0,MIN(Table1[Zeit BZF])/Table1[[#This Row],[Zeit BZF]]*1000,0)</f>
        <v>0</v>
      </c>
      <c r="AL7" s="11">
        <f>IF(Table1[[#This Row],[Zeit BZF]]&gt;0,SUM(IF(Table1[[#This Row],[Alter]]&gt;40,(Table1[[#This Row],[Alter]]-40)*4,0),IF(AND(Table1[[#This Row],[Alter]]&lt;20,Table1[[#This Row],[Alter]]&gt;0),(20-Table1[[#This Row],[Alter]])*10,0)),0)</f>
        <v>0</v>
      </c>
      <c r="AM7" s="10">
        <f>(Table1[[#This Row],[Punkte BZF]]+Table1[[#This Row],[Bonus BZF]])</f>
        <v>0</v>
      </c>
      <c r="AN7" s="21" t="str">
        <f>IF(Table1[[#This Row],[Zeit BZF]]&gt;0,_xlfn.RANK.EQ(Table1[[#This Row],[Gesamt BZF]],Table1[Gesamt BZF],0)," ")</f>
        <v xml:space="preserve"> </v>
      </c>
      <c r="AO7" s="14"/>
      <c r="AP7" s="12" t="str">
        <f>IF(Table1[[#This Row],[Zeit EZF]]&gt;0,_xlfn.RANK.EQ(Table1[[#This Row],[Punkte EZF]],Table1[Punkte EZF],0)," ")</f>
        <v xml:space="preserve"> </v>
      </c>
      <c r="AQ7" s="10">
        <f>IF(Table1[[#This Row],[Zeit EZF]]&gt;0,MIN(Table1[Zeit EZF])/Table1[[#This Row],[Zeit EZF]]*1000,0)</f>
        <v>0</v>
      </c>
      <c r="AR7" s="11">
        <f>IF(Table1[[#This Row],[Zeit EZF]]&gt;0,SUM(IF(Table1[[#This Row],[Alter]]&gt;40,(Table1[[#This Row],[Alter]]-40)*4,0),IF(AND(Table1[[#This Row],[Alter]]&lt;20,Table1[[#This Row],[Alter]]&gt;0),(20-Table1[[#This Row],[Alter]])*10,0)),0)</f>
        <v>0</v>
      </c>
      <c r="AS7" s="10">
        <f>(Table1[[#This Row],[Punkte EZF]]+Table1[[#This Row],[Bonus EZF]])</f>
        <v>0</v>
      </c>
      <c r="AT7" s="21" t="str">
        <f>IF(Table1[[#This Row],[Zeit EZF]]&gt;0,_xlfn.RANK.EQ(Table1[[#This Row],[Gesamt EZF]],Table1[Gesamt EZF],0)," ")</f>
        <v xml:space="preserve"> </v>
      </c>
      <c r="AU7" s="26">
        <f t="shared" ref="AU7" si="4">MAX( AM7,AS7)</f>
        <v>0</v>
      </c>
    </row>
    <row r="8" spans="1:47" x14ac:dyDescent="0.25">
      <c r="A8" s="1" t="s">
        <v>56</v>
      </c>
      <c r="B8" s="1" t="s">
        <v>57</v>
      </c>
      <c r="C8" s="4">
        <v>1</v>
      </c>
      <c r="D8" s="4">
        <v>1988</v>
      </c>
      <c r="E8" s="4">
        <f>IF(Table1[[#This Row],[JG]],2024-Table1[[#This Row],[JG]],0)</f>
        <v>36</v>
      </c>
      <c r="F8" s="4"/>
      <c r="G8" s="49">
        <f t="shared" si="0"/>
        <v>1000</v>
      </c>
      <c r="H8" s="35">
        <f>_xlfn.RANK.EQ(Table1[[#This Row],[Gesamtpunkte]],Table1[Gesamtpunkte],0)</f>
        <v>4</v>
      </c>
      <c r="I8" s="9"/>
      <c r="J8" s="13" t="str">
        <f>IF(Table1[[#This Row],[Zeit LSC]]&gt;0,_xlfn.RANK.EQ(Table1[[#This Row],[Punkte LSC]],Table1[Punkte LSC],0)," ")</f>
        <v xml:space="preserve"> </v>
      </c>
      <c r="K8" s="7">
        <f>IF(Table1[[#This Row],[Zeit LSC]]&gt;0,MIN(Table1[Zeit LSC])/Table1[[#This Row],[Zeit LSC]]*1000,0)</f>
        <v>0</v>
      </c>
      <c r="L8" s="11">
        <f>IF(Table1[[#This Row],[Zeit LSC]]&gt;0,SUM(IF(Table1[[#This Row],[Alter]]&gt;40,(Table1[[#This Row],[Alter]]-40)*4,0),IF(AND(Table1[[#This Row],[Alter]]&lt;20,Table1[[#This Row],[Alter]]&gt;0),(20-Table1[[#This Row],[Alter]])*10,0)),0)</f>
        <v>0</v>
      </c>
      <c r="M8" s="7">
        <f>(Table1[[#This Row],[Punkte LSC]]+Table1[[#This Row],[Bonus LSC]])</f>
        <v>0</v>
      </c>
      <c r="N8" s="15" t="str">
        <f>IF(Table1[[#This Row],[Zeit LSC]]&gt;0,_xlfn.RANK.EQ(Table1[[#This Row],[Gesamt LSC]],Table1[Gesamt LSC],0)," ")</f>
        <v xml:space="preserve"> </v>
      </c>
      <c r="O8" s="9"/>
      <c r="P8" s="4" t="str">
        <f>IF(Table1[[#This Row],[Zeit LKC]]&gt;0,_xlfn.RANK.EQ(Table1[[#This Row],[Punkte LKC]],Table1[Punkte LKC],0)," ")</f>
        <v xml:space="preserve"> </v>
      </c>
      <c r="Q8" s="16">
        <f>IF(Table1[[#This Row],[Zeit LKC]]&gt;0,MIN(Table1[Zeit LKC])/Table1[[#This Row],[Zeit LKC]]*1000,0)</f>
        <v>0</v>
      </c>
      <c r="R8" s="17">
        <f>IF(Table1[[#This Row],[Zeit LKC]]&gt;0,SUM(IF(Table1[[#This Row],[Alter]]&gt;40,(Table1[[#This Row],[Alter]]-40)*4,0),IF(AND(Table1[[#This Row],[Alter]]&lt;20,Table1[[#This Row],[Alter]]&gt;0),(20-Table1[[#This Row],[Alter]])*10,0)),0)</f>
        <v>0</v>
      </c>
      <c r="S8" s="16">
        <f>(Table1[[#This Row],[Punkte LKC]]+Table1[[#This Row],[Bonus LKC]])</f>
        <v>0</v>
      </c>
      <c r="T8" s="18" t="str">
        <f>IF(Table1[[#This Row],[Zeit LKC]]&gt;0,_xlfn.RANK.EQ(Table1[[#This Row],[Gesamt LKC]],Table1[Gesamt LKC],0)," ")</f>
        <v xml:space="preserve"> </v>
      </c>
      <c r="U8" s="23">
        <f t="shared" si="1"/>
        <v>0</v>
      </c>
      <c r="V8" s="9"/>
      <c r="W8" s="12" t="str">
        <f>IF(Table1[[#This Row],[Zeit S&amp;R]]&gt;0,_xlfn.RANK.EQ(Table1[[#This Row],[Punkte S&amp;R]],Table1[Punkte S&amp;R],0)," ")</f>
        <v xml:space="preserve"> </v>
      </c>
      <c r="X8" s="7">
        <f>IF(Table1[[#This Row],[Zeit S&amp;R]]&gt;0,MIN(Table1[Zeit S&amp;R])/Table1[[#This Row],[Zeit S&amp;R]]*1000,0)</f>
        <v>0</v>
      </c>
      <c r="Y8" s="8">
        <f>IF(Table1[[#This Row],[Zeit S&amp;R]]&gt;0,SUM(IF(Table1[[#This Row],[Alter]]&gt;40,(Table1[[#This Row],[Alter]]-40)*4,0),IF(AND(Table1[[#This Row],[Alter]]&lt;20,Table1[[#This Row],[Alter]]&gt;0),(20-Table1[[#This Row],[Alter]])*10,0)),0)</f>
        <v>0</v>
      </c>
      <c r="Z8" s="7">
        <f>(Table1[[#This Row],[Punkte S&amp;R]]+Table1[[#This Row],[Bonus S&amp;R]])</f>
        <v>0</v>
      </c>
      <c r="AA8" s="15" t="str">
        <f>IF(Table1[[#This Row],[Zeit S&amp;R]]&gt;0,_xlfn.RANK.EQ(Table1[[#This Row],[Gesamt S&amp;R]],Table1[Gesamt S&amp;R],0)," ")</f>
        <v xml:space="preserve"> </v>
      </c>
      <c r="AB8" s="14"/>
      <c r="AC8" s="15" t="str">
        <f>IF(Table1[[#This Row],[Zeit LC]]&gt;0,_xlfn.RANK.EQ(Table1[[#This Row],[Punkte LC]],Table1[Punkte LC],0)," ")</f>
        <v xml:space="preserve"> </v>
      </c>
      <c r="AD8" s="7">
        <f>IF(Table1[[#This Row],[Zeit LC]]&gt;0,MIN(Table1[Zeit LC])/Table1[[#This Row],[Zeit LC]]*1000,0)</f>
        <v>0</v>
      </c>
      <c r="AE8" s="7">
        <f>IF(Table1[[#This Row],[Zeit LC]]&gt;0,SUM(IF(Table1[[#This Row],[Alter]]&gt;40,(Table1[[#This Row],[Alter]]-40)*4,0),IF(AND(Table1[[#This Row],[Alter]]&lt;20,Table1[[#This Row],[Alter]]&gt;0),(20-Table1[[#This Row],[Alter]])*10,0)),0)</f>
        <v>0</v>
      </c>
      <c r="AF8" s="7">
        <f>(Table1[[#This Row],[Punkte LC]]+Table1[[#This Row],[Bonus LC]])</f>
        <v>0</v>
      </c>
      <c r="AG8" s="15" t="str">
        <f>IF(Table1[[#This Row],[Zeit LC]]&gt;0,_xlfn.RANK.EQ(Table1[[#This Row],[Gesamt LC]],Table1[Gesamt LC],0)," ")</f>
        <v xml:space="preserve"> </v>
      </c>
      <c r="AH8" s="23">
        <f t="shared" si="2"/>
        <v>0</v>
      </c>
      <c r="AI8" s="9">
        <v>1.5416666666666667E-2</v>
      </c>
      <c r="AJ8" s="12">
        <f>IF(Table1[[#This Row],[Zeit BZF]]&gt;0,_xlfn.RANK.EQ(Table1[[#This Row],[Punkte BZF]],Table1[Punkte BZF],0)," ")</f>
        <v>1</v>
      </c>
      <c r="AK8" s="10">
        <f>IF(Table1[[#This Row],[Zeit BZF]]&gt;0,MIN(Table1[Zeit BZF])/Table1[[#This Row],[Zeit BZF]]*1000,0)</f>
        <v>1000</v>
      </c>
      <c r="AL8" s="8">
        <f>IF(Table1[[#This Row],[Zeit BZF]]&gt;0,SUM(IF(Table1[[#This Row],[Alter]]&gt;40,(Table1[[#This Row],[Alter]]-40)*4,0),IF(AND(Table1[[#This Row],[Alter]]&lt;20,Table1[[#This Row],[Alter]]&gt;0),(20-Table1[[#This Row],[Alter]])*10,0)),0)</f>
        <v>0</v>
      </c>
      <c r="AM8" s="7">
        <f>(Table1[[#This Row],[Punkte BZF]]+Table1[[#This Row],[Bonus BZF]])</f>
        <v>1000</v>
      </c>
      <c r="AN8" s="15">
        <f>IF(Table1[[#This Row],[Zeit BZF]]&gt;0,_xlfn.RANK.EQ(Table1[[#This Row],[Gesamt BZF]],Table1[Gesamt BZF],0)," ")</f>
        <v>1</v>
      </c>
      <c r="AO8" s="9"/>
      <c r="AP8" s="12" t="str">
        <f>IF(Table1[[#This Row],[Zeit EZF]]&gt;0,_xlfn.RANK.EQ(Table1[[#This Row],[Punkte EZF]],Table1[Punkte EZF],0)," ")</f>
        <v xml:space="preserve"> </v>
      </c>
      <c r="AQ8" s="10">
        <f>IF(Table1[[#This Row],[Zeit EZF]]&gt;0,MIN(Table1[Zeit EZF])/Table1[[#This Row],[Zeit EZF]]*1000,0)</f>
        <v>0</v>
      </c>
      <c r="AR8" s="8">
        <f>IF(Table1[[#This Row],[Zeit EZF]]&gt;0,SUM(IF(Table1[[#This Row],[Alter]]&gt;40,(Table1[[#This Row],[Alter]]-40)*4,0),IF(AND(Table1[[#This Row],[Alter]]&lt;20,Table1[[#This Row],[Alter]]&gt;0),(20-Table1[[#This Row],[Alter]])*10,0)),0)</f>
        <v>0</v>
      </c>
      <c r="AS8" s="7">
        <f>(Table1[[#This Row],[Punkte EZF]]+Table1[[#This Row],[Bonus EZF]])</f>
        <v>0</v>
      </c>
      <c r="AT8" s="15" t="str">
        <f>IF(Table1[[#This Row],[Zeit EZF]]&gt;0,_xlfn.RANK.EQ(Table1[[#This Row],[Gesamt EZF]],Table1[Gesamt EZF],0)," ")</f>
        <v xml:space="preserve"> </v>
      </c>
      <c r="AU8" s="26">
        <f t="shared" ref="AU8" si="5">MAX( AM8,AS8)</f>
        <v>1000</v>
      </c>
    </row>
    <row r="9" spans="1:47" x14ac:dyDescent="0.25">
      <c r="A9" s="1" t="s">
        <v>109</v>
      </c>
      <c r="B9" s="1" t="s">
        <v>110</v>
      </c>
      <c r="C9" s="5"/>
      <c r="D9" s="5">
        <v>1996</v>
      </c>
      <c r="E9" s="6">
        <f>IF(Table1[[#This Row],[JG]],2024-Table1[[#This Row],[JG]],0)</f>
        <v>28</v>
      </c>
      <c r="F9" s="4" t="s">
        <v>34</v>
      </c>
      <c r="G9" s="49">
        <f t="shared" si="0"/>
        <v>967.30515191545578</v>
      </c>
      <c r="H9" s="35">
        <f>_xlfn.RANK.EQ(Table1[[#This Row],[Gesamtpunkte]],Table1[Gesamtpunkte],0)</f>
        <v>7</v>
      </c>
      <c r="I9" s="9"/>
      <c r="J9" s="36" t="str">
        <f>IF(Table1[[#This Row],[Zeit LSC]]&gt;0,_xlfn.RANK.EQ(Table1[[#This Row],[Punkte LSC]],Table1[Punkte LSC],0)," ")</f>
        <v xml:space="preserve"> </v>
      </c>
      <c r="K9" s="7">
        <f>IF(Table1[[#This Row],[Zeit LSC]]&gt;0,MIN(Table1[Zeit LSC])/Table1[[#This Row],[Zeit LSC]]*1000,0)</f>
        <v>0</v>
      </c>
      <c r="L9" s="8">
        <f>IF(Table1[[#This Row],[Zeit LSC]]&gt;0,SUM(IF(Table1[[#This Row],[Alter]]&gt;40,(Table1[[#This Row],[Alter]]-40)*4,0),IF(AND(Table1[[#This Row],[Alter]]&lt;20,Table1[[#This Row],[Alter]]&gt;0),(20-Table1[[#This Row],[Alter]])*10,0)),0)</f>
        <v>0</v>
      </c>
      <c r="M9" s="7">
        <f>(Table1[[#This Row],[Punkte LSC]]+Table1[[#This Row],[Bonus LSC]])</f>
        <v>0</v>
      </c>
      <c r="N9" s="15" t="str">
        <f>IF(Table1[[#This Row],[Zeit LSC]]&gt;0,_xlfn.RANK.EQ(Table1[[#This Row],[Gesamt LSC]],Table1[Gesamt LSC],0)," ")</f>
        <v xml:space="preserve"> </v>
      </c>
      <c r="O9" s="34"/>
      <c r="P9" s="6" t="str">
        <f>IF(Table1[[#This Row],[Zeit LKC]]&gt;0,_xlfn.RANK.EQ(Table1[[#This Row],[Punkte LKC]],Table1[Punkte LKC],0)," ")</f>
        <v xml:space="preserve"> </v>
      </c>
      <c r="Q9" s="16">
        <f>IF(Table1[[#This Row],[Zeit LKC]]&gt;0,MIN(Table1[Zeit LKC])/Table1[[#This Row],[Zeit LKC]]*1000,0)</f>
        <v>0</v>
      </c>
      <c r="R9" s="33">
        <f>IF(Table1[[#This Row],[Zeit LKC]]&gt;0,SUM(IF(Table1[[#This Row],[Alter]]&gt;40,(Table1[[#This Row],[Alter]]-40)*4,0),IF(AND(Table1[[#This Row],[Alter]]&lt;20,Table1[[#This Row],[Alter]]&gt;0),(20-Table1[[#This Row],[Alter]])*10,0)),0)</f>
        <v>0</v>
      </c>
      <c r="S9" s="19">
        <f>(Table1[[#This Row],[Punkte LKC]]+Table1[[#This Row],[Bonus LKC]])</f>
        <v>0</v>
      </c>
      <c r="T9" s="25" t="str">
        <f>IF(Table1[[#This Row],[Zeit LKC]]&gt;0,_xlfn.RANK.EQ(Table1[[#This Row],[Gesamt LKC]],Table1[Gesamt LKC],0)," ")</f>
        <v xml:space="preserve"> </v>
      </c>
      <c r="U9" s="23">
        <f t="shared" si="1"/>
        <v>0</v>
      </c>
      <c r="V9" s="14">
        <v>3.5046296296296298E-2</v>
      </c>
      <c r="W9" s="12">
        <f>IF(Table1[[#This Row],[Zeit S&amp;R]]&gt;0,_xlfn.RANK.EQ(Table1[[#This Row],[Punkte S&amp;R]],Table1[Punkte S&amp;R],0)," ")</f>
        <v>2</v>
      </c>
      <c r="X9" s="10">
        <f>IF(Table1[[#This Row],[Zeit S&amp;R]]&gt;0,MIN(Table1[Zeit S&amp;R])/Table1[[#This Row],[Zeit S&amp;R]]*1000,0)</f>
        <v>967.30515191545578</v>
      </c>
      <c r="Y9" s="11">
        <f>IF(Table1[[#This Row],[Zeit S&amp;R]]&gt;0,SUM(IF(Table1[[#This Row],[Alter]]&gt;40,(Table1[[#This Row],[Alter]]-40)*4,0),IF(AND(Table1[[#This Row],[Alter]]&lt;20,Table1[[#This Row],[Alter]]&gt;0),(20-Table1[[#This Row],[Alter]])*10,0)),0)</f>
        <v>0</v>
      </c>
      <c r="Z9" s="10">
        <f>(Table1[[#This Row],[Punkte S&amp;R]]+Table1[[#This Row],[Bonus S&amp;R]])</f>
        <v>967.30515191545578</v>
      </c>
      <c r="AA9" s="21">
        <f>IF(Table1[[#This Row],[Zeit S&amp;R]]&gt;0,_xlfn.RANK.EQ(Table1[[#This Row],[Gesamt S&amp;R]],Table1[Gesamt S&amp;R],0)," ")</f>
        <v>2</v>
      </c>
      <c r="AB9" s="14"/>
      <c r="AC9" s="21" t="str">
        <f>IF(Table1[[#This Row],[Zeit LC]]&gt;0,_xlfn.RANK.EQ(Table1[[#This Row],[Punkte LC]],Table1[Punkte LC],0)," ")</f>
        <v xml:space="preserve"> </v>
      </c>
      <c r="AD9" s="10">
        <f>IF(Table1[[#This Row],[Zeit LC]]&gt;0,MIN(Table1[Zeit LC])/Table1[[#This Row],[Zeit LC]]*1000,0)</f>
        <v>0</v>
      </c>
      <c r="AE9" s="10">
        <f>IF(Table1[[#This Row],[Zeit LC]]&gt;0,SUM(IF(Table1[[#This Row],[Alter]]&gt;40,(Table1[[#This Row],[Alter]]-40)*4,0),IF(AND(Table1[[#This Row],[Alter]]&lt;20,Table1[[#This Row],[Alter]]&gt;0),(20-Table1[[#This Row],[Alter]])*10,0)),0)</f>
        <v>0</v>
      </c>
      <c r="AF9" s="10">
        <f>(Table1[[#This Row],[Punkte LC]]+Table1[[#This Row],[Bonus LC]])</f>
        <v>0</v>
      </c>
      <c r="AG9" s="21" t="str">
        <f>IF(Table1[[#This Row],[Zeit LC]]&gt;0,_xlfn.RANK.EQ(Table1[[#This Row],[Gesamt LC]],Table1[Gesamt LC],0)," ")</f>
        <v xml:space="preserve"> </v>
      </c>
      <c r="AH9" s="23">
        <f t="shared" si="2"/>
        <v>967.30515191545578</v>
      </c>
      <c r="AI9" s="14"/>
      <c r="AJ9" s="12" t="str">
        <f>IF(Table1[[#This Row],[Zeit BZF]]&gt;0,_xlfn.RANK.EQ(Table1[[#This Row],[Punkte BZF]],Table1[Punkte BZF],0)," ")</f>
        <v xml:space="preserve"> </v>
      </c>
      <c r="AK9" s="10">
        <f>IF(Table1[[#This Row],[Zeit BZF]]&gt;0,MIN(Table1[Zeit BZF])/Table1[[#This Row],[Zeit BZF]]*1000,0)</f>
        <v>0</v>
      </c>
      <c r="AL9" s="11">
        <f>IF(Table1[[#This Row],[Zeit BZF]]&gt;0,SUM(IF(Table1[[#This Row],[Alter]]&gt;40,(Table1[[#This Row],[Alter]]-40)*4,0),IF(AND(Table1[[#This Row],[Alter]]&lt;20,Table1[[#This Row],[Alter]]&gt;0),(20-Table1[[#This Row],[Alter]])*10,0)),0)</f>
        <v>0</v>
      </c>
      <c r="AM9" s="10">
        <f>(Table1[[#This Row],[Punkte BZF]]+Table1[[#This Row],[Bonus BZF]])</f>
        <v>0</v>
      </c>
      <c r="AN9" s="21" t="str">
        <f>IF(Table1[[#This Row],[Zeit BZF]]&gt;0,_xlfn.RANK.EQ(Table1[[#This Row],[Gesamt BZF]],Table1[Gesamt BZF],0)," ")</f>
        <v xml:space="preserve"> </v>
      </c>
      <c r="AO9" s="14"/>
      <c r="AP9" s="12" t="str">
        <f>IF(Table1[[#This Row],[Zeit EZF]]&gt;0,_xlfn.RANK.EQ(Table1[[#This Row],[Punkte EZF]],Table1[Punkte EZF],0)," ")</f>
        <v xml:space="preserve"> </v>
      </c>
      <c r="AQ9" s="10">
        <f>IF(Table1[[#This Row],[Zeit EZF]]&gt;0,MIN(Table1[Zeit EZF])/Table1[[#This Row],[Zeit EZF]]*1000,0)</f>
        <v>0</v>
      </c>
      <c r="AR9" s="11">
        <f>IF(Table1[[#This Row],[Zeit EZF]]&gt;0,SUM(IF(Table1[[#This Row],[Alter]]&gt;40,(Table1[[#This Row],[Alter]]-40)*4,0),IF(AND(Table1[[#This Row],[Alter]]&lt;20,Table1[[#This Row],[Alter]]&gt;0),(20-Table1[[#This Row],[Alter]])*10,0)),0)</f>
        <v>0</v>
      </c>
      <c r="AS9" s="10">
        <f>(Table1[[#This Row],[Punkte EZF]]+Table1[[#This Row],[Bonus EZF]])</f>
        <v>0</v>
      </c>
      <c r="AT9" s="21" t="str">
        <f>IF(Table1[[#This Row],[Zeit EZF]]&gt;0,_xlfn.RANK.EQ(Table1[[#This Row],[Gesamt EZF]],Table1[Gesamt EZF],0)," ")</f>
        <v xml:space="preserve"> </v>
      </c>
      <c r="AU9" s="26">
        <f t="shared" si="3"/>
        <v>0</v>
      </c>
    </row>
    <row r="10" spans="1:47" x14ac:dyDescent="0.25">
      <c r="A10" s="1" t="s">
        <v>114</v>
      </c>
      <c r="B10" s="1" t="s">
        <v>130</v>
      </c>
      <c r="C10" s="5"/>
      <c r="D10" s="5">
        <v>1975</v>
      </c>
      <c r="E10" s="6">
        <f>IF(Table1[[#This Row],[JG]],2024-Table1[[#This Row],[JG]],0)</f>
        <v>49</v>
      </c>
      <c r="F10" s="4" t="s">
        <v>34</v>
      </c>
      <c r="G10" s="49">
        <f t="shared" si="0"/>
        <v>937.23456790123441</v>
      </c>
      <c r="H10" s="35">
        <f>_xlfn.RANK.EQ(Table1[[#This Row],[Gesamtpunkte]],Table1[Gesamtpunkte],0)</f>
        <v>8</v>
      </c>
      <c r="I10" s="9">
        <v>2.4375000000000004E-2</v>
      </c>
      <c r="J10" s="36">
        <f>IF(Table1[[#This Row],[Zeit LSC]]&gt;0,_xlfn.RANK.EQ(Table1[[#This Row],[Punkte LSC]],Table1[Punkte LSC],0)," ")</f>
        <v>2</v>
      </c>
      <c r="K10" s="7">
        <f>IF(Table1[[#This Row],[Zeit LSC]]&gt;0,MIN(Table1[Zeit LSC])/Table1[[#This Row],[Zeit LSC]]*1000,0)</f>
        <v>901.23456790123441</v>
      </c>
      <c r="L10" s="8">
        <f>IF(Table1[[#This Row],[Zeit LSC]]&gt;0,SUM(IF(Table1[[#This Row],[Alter]]&gt;40,(Table1[[#This Row],[Alter]]-40)*4,0),IF(AND(Table1[[#This Row],[Alter]]&lt;20,Table1[[#This Row],[Alter]]&gt;0),(20-Table1[[#This Row],[Alter]])*10,0)),0)</f>
        <v>36</v>
      </c>
      <c r="M10" s="7">
        <f>(Table1[[#This Row],[Punkte LSC]]+Table1[[#This Row],[Bonus LSC]])</f>
        <v>937.23456790123441</v>
      </c>
      <c r="N10" s="15">
        <f>IF(Table1[[#This Row],[Zeit LSC]]&gt;0,_xlfn.RANK.EQ(Table1[[#This Row],[Gesamt LSC]],Table1[Gesamt LSC],0)," ")</f>
        <v>2</v>
      </c>
      <c r="O10" s="34"/>
      <c r="P10" s="6" t="str">
        <f>IF(Table1[[#This Row],[Zeit LKC]]&gt;0,_xlfn.RANK.EQ(Table1[[#This Row],[Punkte LKC]],Table1[Punkte LKC],0)," ")</f>
        <v xml:space="preserve"> </v>
      </c>
      <c r="Q10" s="16">
        <f>IF(Table1[[#This Row],[Zeit LKC]]&gt;0,MIN(Table1[Zeit LKC])/Table1[[#This Row],[Zeit LKC]]*1000,0)</f>
        <v>0</v>
      </c>
      <c r="R10" s="33">
        <f>IF(Table1[[#This Row],[Zeit LKC]]&gt;0,SUM(IF(Table1[[#This Row],[Alter]]&gt;40,(Table1[[#This Row],[Alter]]-40)*4,0),IF(AND(Table1[[#This Row],[Alter]]&lt;20,Table1[[#This Row],[Alter]]&gt;0),(20-Table1[[#This Row],[Alter]])*10,0)),0)</f>
        <v>0</v>
      </c>
      <c r="S10" s="19">
        <f>(Table1[[#This Row],[Punkte LKC]]+Table1[[#This Row],[Bonus LKC]])</f>
        <v>0</v>
      </c>
      <c r="T10" s="25" t="str">
        <f>IF(Table1[[#This Row],[Zeit LKC]]&gt;0,_xlfn.RANK.EQ(Table1[[#This Row],[Gesamt LKC]],Table1[Gesamt LKC],0)," ")</f>
        <v xml:space="preserve"> </v>
      </c>
      <c r="U10" s="23">
        <f t="shared" si="1"/>
        <v>937.23456790123441</v>
      </c>
      <c r="V10" s="14"/>
      <c r="W10" s="12" t="str">
        <f>IF(Table1[[#This Row],[Zeit S&amp;R]]&gt;0,_xlfn.RANK.EQ(Table1[[#This Row],[Punkte S&amp;R]],Table1[Punkte S&amp;R],0)," ")</f>
        <v xml:space="preserve"> </v>
      </c>
      <c r="X10" s="10">
        <f>IF(Table1[[#This Row],[Zeit S&amp;R]]&gt;0,MIN(Table1[Zeit S&amp;R])/Table1[[#This Row],[Zeit S&amp;R]]*1000,0)</f>
        <v>0</v>
      </c>
      <c r="Y10" s="11">
        <f>IF(Table1[[#This Row],[Zeit S&amp;R]]&gt;0,SUM(IF(Table1[[#This Row],[Alter]]&gt;40,(Table1[[#This Row],[Alter]]-40)*4,0),IF(AND(Table1[[#This Row],[Alter]]&lt;20,Table1[[#This Row],[Alter]]&gt;0),(20-Table1[[#This Row],[Alter]])*10,0)),0)</f>
        <v>0</v>
      </c>
      <c r="Z10" s="10">
        <f>(Table1[[#This Row],[Punkte S&amp;R]]+Table1[[#This Row],[Bonus S&amp;R]])</f>
        <v>0</v>
      </c>
      <c r="AA10" s="21" t="str">
        <f>IF(Table1[[#This Row],[Zeit S&amp;R]]&gt;0,_xlfn.RANK.EQ(Table1[[#This Row],[Gesamt S&amp;R]],Table1[Gesamt S&amp;R],0)," ")</f>
        <v xml:space="preserve"> </v>
      </c>
      <c r="AB10" s="14"/>
      <c r="AC10" s="21" t="str">
        <f>IF(Table1[[#This Row],[Zeit LC]]&gt;0,_xlfn.RANK.EQ(Table1[[#This Row],[Punkte LC]],Table1[Punkte LC],0)," ")</f>
        <v xml:space="preserve"> </v>
      </c>
      <c r="AD10" s="10">
        <f>IF(Table1[[#This Row],[Zeit LC]]&gt;0,MIN(Table1[Zeit LC])/Table1[[#This Row],[Zeit LC]]*1000,0)</f>
        <v>0</v>
      </c>
      <c r="AE10" s="10">
        <f>IF(Table1[[#This Row],[Zeit LC]]&gt;0,SUM(IF(Table1[[#This Row],[Alter]]&gt;40,(Table1[[#This Row],[Alter]]-40)*4,0),IF(AND(Table1[[#This Row],[Alter]]&lt;20,Table1[[#This Row],[Alter]]&gt;0),(20-Table1[[#This Row],[Alter]])*10,0)),0)</f>
        <v>0</v>
      </c>
      <c r="AF10" s="10">
        <f>(Table1[[#This Row],[Punkte LC]]+Table1[[#This Row],[Bonus LC]])</f>
        <v>0</v>
      </c>
      <c r="AG10" s="21" t="str">
        <f>IF(Table1[[#This Row],[Zeit LC]]&gt;0,_xlfn.RANK.EQ(Table1[[#This Row],[Gesamt LC]],Table1[Gesamt LC],0)," ")</f>
        <v xml:space="preserve"> </v>
      </c>
      <c r="AH10" s="23">
        <f t="shared" si="2"/>
        <v>0</v>
      </c>
      <c r="AI10" s="14"/>
      <c r="AJ10" s="12" t="str">
        <f>IF(Table1[[#This Row],[Zeit BZF]]&gt;0,_xlfn.RANK.EQ(Table1[[#This Row],[Punkte BZF]],Table1[Punkte BZF],0)," ")</f>
        <v xml:space="preserve"> </v>
      </c>
      <c r="AK10" s="10">
        <f>IF(Table1[[#This Row],[Zeit BZF]]&gt;0,MIN(Table1[Zeit BZF])/Table1[[#This Row],[Zeit BZF]]*1000,0)</f>
        <v>0</v>
      </c>
      <c r="AL10" s="11">
        <f>IF(Table1[[#This Row],[Zeit BZF]]&gt;0,SUM(IF(Table1[[#This Row],[Alter]]&gt;40,(Table1[[#This Row],[Alter]]-40)*4,0),IF(AND(Table1[[#This Row],[Alter]]&lt;20,Table1[[#This Row],[Alter]]&gt;0),(20-Table1[[#This Row],[Alter]])*10,0)),0)</f>
        <v>0</v>
      </c>
      <c r="AM10" s="10">
        <f>(Table1[[#This Row],[Punkte BZF]]+Table1[[#This Row],[Bonus BZF]])</f>
        <v>0</v>
      </c>
      <c r="AN10" s="21" t="str">
        <f>IF(Table1[[#This Row],[Zeit BZF]]&gt;0,_xlfn.RANK.EQ(Table1[[#This Row],[Gesamt BZF]],Table1[Gesamt BZF],0)," ")</f>
        <v xml:space="preserve"> </v>
      </c>
      <c r="AO10" s="14"/>
      <c r="AP10" s="12" t="str">
        <f>IF(Table1[[#This Row],[Zeit EZF]]&gt;0,_xlfn.RANK.EQ(Table1[[#This Row],[Punkte EZF]],Table1[Punkte EZF],0)," ")</f>
        <v xml:space="preserve"> </v>
      </c>
      <c r="AQ10" s="10">
        <f>IF(Table1[[#This Row],[Zeit EZF]]&gt;0,MIN(Table1[Zeit EZF])/Table1[[#This Row],[Zeit EZF]]*1000,0)</f>
        <v>0</v>
      </c>
      <c r="AR10" s="11">
        <f>IF(Table1[[#This Row],[Zeit EZF]]&gt;0,SUM(IF(Table1[[#This Row],[Alter]]&gt;40,(Table1[[#This Row],[Alter]]-40)*4,0),IF(AND(Table1[[#This Row],[Alter]]&lt;20,Table1[[#This Row],[Alter]]&gt;0),(20-Table1[[#This Row],[Alter]])*10,0)),0)</f>
        <v>0</v>
      </c>
      <c r="AS10" s="10">
        <f>(Table1[[#This Row],[Punkte EZF]]+Table1[[#This Row],[Bonus EZF]])</f>
        <v>0</v>
      </c>
      <c r="AT10" s="21" t="str">
        <f>IF(Table1[[#This Row],[Zeit EZF]]&gt;0,_xlfn.RANK.EQ(Table1[[#This Row],[Gesamt EZF]],Table1[Gesamt EZF],0)," ")</f>
        <v xml:space="preserve"> </v>
      </c>
      <c r="AU10" s="26">
        <f t="shared" si="3"/>
        <v>0</v>
      </c>
    </row>
    <row r="11" spans="1:47" x14ac:dyDescent="0.25">
      <c r="A11" s="1" t="s">
        <v>101</v>
      </c>
      <c r="B11" s="1" t="s">
        <v>102</v>
      </c>
      <c r="C11" s="5"/>
      <c r="D11" s="5">
        <v>1999</v>
      </c>
      <c r="E11" s="6">
        <f>IF(Table1[[#This Row],[JG]],2024-Table1[[#This Row],[JG]],0)</f>
        <v>25</v>
      </c>
      <c r="F11" s="5"/>
      <c r="G11" s="49">
        <f t="shared" si="0"/>
        <v>867.85185185185185</v>
      </c>
      <c r="H11" s="35">
        <f>_xlfn.RANK.EQ(Table1[[#This Row],[Gesamtpunkte]],Table1[Gesamtpunkte],0)</f>
        <v>9</v>
      </c>
      <c r="I11" s="9"/>
      <c r="J11" s="36" t="str">
        <f>IF(Table1[[#This Row],[Zeit LSC]]&gt;0,_xlfn.RANK.EQ(Table1[[#This Row],[Punkte LSC]],Table1[Punkte LSC],0)," ")</f>
        <v xml:space="preserve"> </v>
      </c>
      <c r="K11" s="7">
        <f>IF(Table1[[#This Row],[Zeit LSC]]&gt;0,MIN(Table1[Zeit LSC])/Table1[[#This Row],[Zeit LSC]]*1000,0)</f>
        <v>0</v>
      </c>
      <c r="L11" s="11">
        <f>IF(Table1[[#This Row],[Zeit LSC]]&gt;0,SUM(IF(Table1[[#This Row],[Alter]]&gt;40,(Table1[[#This Row],[Alter]]-40)*4,0),IF(AND(Table1[[#This Row],[Alter]]&lt;20,Table1[[#This Row],[Alter]]&gt;0),(20-Table1[[#This Row],[Alter]])*10,0)),0)</f>
        <v>0</v>
      </c>
      <c r="M11" s="7">
        <f>(Table1[[#This Row],[Punkte LSC]]+Table1[[#This Row],[Bonus LSC]])</f>
        <v>0</v>
      </c>
      <c r="N11" s="15" t="str">
        <f>IF(Table1[[#This Row],[Zeit LSC]]&gt;0,_xlfn.RANK.EQ(Table1[[#This Row],[Gesamt LSC]],Table1[Gesamt LSC],0)," ")</f>
        <v xml:space="preserve"> </v>
      </c>
      <c r="O11" s="34"/>
      <c r="P11" s="6" t="str">
        <f>IF(Table1[[#This Row],[Zeit LKC]]&gt;0,_xlfn.RANK.EQ(Table1[[#This Row],[Punkte LKC]],Table1[Punkte LKC],0)," ")</f>
        <v xml:space="preserve"> </v>
      </c>
      <c r="Q11" s="16">
        <f>IF(Table1[[#This Row],[Zeit LKC]]&gt;0,MIN(Table1[Zeit LKC])/Table1[[#This Row],[Zeit LKC]]*1000,0)</f>
        <v>0</v>
      </c>
      <c r="R11" s="33">
        <f>IF(Table1[[#This Row],[Zeit LKC]]&gt;0,SUM(IF(Table1[[#This Row],[Alter]]&gt;40,(Table1[[#This Row],[Alter]]-40)*4,0),IF(AND(Table1[[#This Row],[Alter]]&lt;20,Table1[[#This Row],[Alter]]&gt;0),(20-Table1[[#This Row],[Alter]])*10,0)),0)</f>
        <v>0</v>
      </c>
      <c r="S11" s="19">
        <f>(Table1[[#This Row],[Punkte LKC]]+Table1[[#This Row],[Bonus LKC]])</f>
        <v>0</v>
      </c>
      <c r="T11" s="25" t="str">
        <f>IF(Table1[[#This Row],[Zeit LKC]]&gt;0,_xlfn.RANK.EQ(Table1[[#This Row],[Gesamt LKC]],Table1[Gesamt LKC],0)," ")</f>
        <v xml:space="preserve"> </v>
      </c>
      <c r="U11" s="23">
        <f t="shared" si="1"/>
        <v>0</v>
      </c>
      <c r="V11" s="9">
        <v>3.90625E-2</v>
      </c>
      <c r="W11" s="12">
        <f>IF(Table1[[#This Row],[Zeit S&amp;R]]&gt;0,_xlfn.RANK.EQ(Table1[[#This Row],[Punkte S&amp;R]],Table1[Punkte S&amp;R],0)," ")</f>
        <v>3</v>
      </c>
      <c r="X11" s="10">
        <f>IF(Table1[[#This Row],[Zeit S&amp;R]]&gt;0,MIN(Table1[Zeit S&amp;R])/Table1[[#This Row],[Zeit S&amp;R]]*1000,0)</f>
        <v>867.85185185185185</v>
      </c>
      <c r="Y11" s="11">
        <f>IF(Table1[[#This Row],[Zeit S&amp;R]]&gt;0,SUM(IF(Table1[[#This Row],[Alter]]&gt;40,(Table1[[#This Row],[Alter]]-40)*4,0),IF(AND(Table1[[#This Row],[Alter]]&lt;20,Table1[[#This Row],[Alter]]&gt;0),(20-Table1[[#This Row],[Alter]])*10,0)),0)</f>
        <v>0</v>
      </c>
      <c r="Z11" s="10">
        <f>(Table1[[#This Row],[Punkte S&amp;R]]+Table1[[#This Row],[Bonus S&amp;R]])</f>
        <v>867.85185185185185</v>
      </c>
      <c r="AA11" s="21">
        <f>IF(Table1[[#This Row],[Zeit S&amp;R]]&gt;0,_xlfn.RANK.EQ(Table1[[#This Row],[Gesamt S&amp;R]],Table1[Gesamt S&amp;R],0)," ")</f>
        <v>3</v>
      </c>
      <c r="AB11" s="14"/>
      <c r="AC11" s="21" t="str">
        <f>IF(Table1[[#This Row],[Zeit LC]]&gt;0,_xlfn.RANK.EQ(Table1[[#This Row],[Punkte LC]],Table1[Punkte LC],0)," ")</f>
        <v xml:space="preserve"> </v>
      </c>
      <c r="AD11" s="10">
        <f>IF(Table1[[#This Row],[Zeit LC]]&gt;0,MIN(Table1[Zeit LC])/Table1[[#This Row],[Zeit LC]]*1000,0)</f>
        <v>0</v>
      </c>
      <c r="AE11" s="10">
        <f>IF(Table1[[#This Row],[Zeit LC]]&gt;0,SUM(IF(Table1[[#This Row],[Alter]]&gt;40,(Table1[[#This Row],[Alter]]-40)*4,0),IF(AND(Table1[[#This Row],[Alter]]&lt;20,Table1[[#This Row],[Alter]]&gt;0),(20-Table1[[#This Row],[Alter]])*10,0)),0)</f>
        <v>0</v>
      </c>
      <c r="AF11" s="10">
        <f>(Table1[[#This Row],[Punkte LC]]+Table1[[#This Row],[Bonus LC]])</f>
        <v>0</v>
      </c>
      <c r="AG11" s="21" t="str">
        <f>IF(Table1[[#This Row],[Zeit LC]]&gt;0,_xlfn.RANK.EQ(Table1[[#This Row],[Gesamt LC]],Table1[Gesamt LC],0)," ")</f>
        <v xml:space="preserve"> </v>
      </c>
      <c r="AH11" s="23">
        <f t="shared" si="2"/>
        <v>867.85185185185185</v>
      </c>
      <c r="AI11" s="14"/>
      <c r="AJ11" s="12" t="str">
        <f>IF(Table1[[#This Row],[Zeit BZF]]&gt;0,_xlfn.RANK.EQ(Table1[[#This Row],[Punkte BZF]],Table1[Punkte BZF],0)," ")</f>
        <v xml:space="preserve"> </v>
      </c>
      <c r="AK11" s="10">
        <f>IF(Table1[[#This Row],[Zeit BZF]]&gt;0,MIN(Table1[Zeit BZF])/Table1[[#This Row],[Zeit BZF]]*1000,0)</f>
        <v>0</v>
      </c>
      <c r="AL11" s="11">
        <f>IF(Table1[[#This Row],[Zeit BZF]]&gt;0,SUM(IF(Table1[[#This Row],[Alter]]&gt;40,(Table1[[#This Row],[Alter]]-40)*4,0),IF(AND(Table1[[#This Row],[Alter]]&lt;20,Table1[[#This Row],[Alter]]&gt;0),(20-Table1[[#This Row],[Alter]])*10,0)),0)</f>
        <v>0</v>
      </c>
      <c r="AM11" s="10">
        <f>(Table1[[#This Row],[Punkte BZF]]+Table1[[#This Row],[Bonus BZF]])</f>
        <v>0</v>
      </c>
      <c r="AN11" s="21" t="str">
        <f>IF(Table1[[#This Row],[Zeit BZF]]&gt;0,_xlfn.RANK.EQ(Table1[[#This Row],[Gesamt BZF]],Table1[Gesamt BZF],0)," ")</f>
        <v xml:space="preserve"> </v>
      </c>
      <c r="AO11" s="14"/>
      <c r="AP11" s="12" t="str">
        <f>IF(Table1[[#This Row],[Zeit EZF]]&gt;0,_xlfn.RANK.EQ(Table1[[#This Row],[Punkte EZF]],Table1[Punkte EZF],0)," ")</f>
        <v xml:space="preserve"> </v>
      </c>
      <c r="AQ11" s="10">
        <f>IF(Table1[[#This Row],[Zeit EZF]]&gt;0,MIN(Table1[Zeit EZF])/Table1[[#This Row],[Zeit EZF]]*1000,0)</f>
        <v>0</v>
      </c>
      <c r="AR11" s="11">
        <f>IF(Table1[[#This Row],[Zeit EZF]]&gt;0,SUM(IF(Table1[[#This Row],[Alter]]&gt;40,(Table1[[#This Row],[Alter]]-40)*4,0),IF(AND(Table1[[#This Row],[Alter]]&lt;20,Table1[[#This Row],[Alter]]&gt;0),(20-Table1[[#This Row],[Alter]])*10,0)),0)</f>
        <v>0</v>
      </c>
      <c r="AS11" s="10">
        <f>(Table1[[#This Row],[Punkte EZF]]+Table1[[#This Row],[Bonus EZF]])</f>
        <v>0</v>
      </c>
      <c r="AT11" s="21" t="str">
        <f>IF(Table1[[#This Row],[Zeit EZF]]&gt;0,_xlfn.RANK.EQ(Table1[[#This Row],[Gesamt EZF]],Table1[Gesamt EZF],0)," ")</f>
        <v xml:space="preserve"> </v>
      </c>
      <c r="AU11" s="26">
        <f t="shared" si="3"/>
        <v>0</v>
      </c>
    </row>
    <row r="12" spans="1:47" x14ac:dyDescent="0.25">
      <c r="A12" s="1" t="s">
        <v>71</v>
      </c>
      <c r="B12" s="1" t="s">
        <v>58</v>
      </c>
      <c r="C12" s="4">
        <v>1</v>
      </c>
      <c r="D12" s="4">
        <v>1992</v>
      </c>
      <c r="E12" s="4">
        <f>IF(Table1[[#This Row],[JG]],2024-Table1[[#This Row],[JG]],0)</f>
        <v>32</v>
      </c>
      <c r="F12" s="4"/>
      <c r="G12" s="49">
        <f t="shared" si="0"/>
        <v>822.00086617583383</v>
      </c>
      <c r="H12" s="35">
        <f>_xlfn.RANK.EQ(Table1[[#This Row],[Gesamtpunkte]],Table1[Gesamtpunkte],0)</f>
        <v>10</v>
      </c>
      <c r="I12" s="9">
        <v>2.6724537037037036E-2</v>
      </c>
      <c r="J12" s="13">
        <f>IF(Table1[[#This Row],[Zeit LSC]]&gt;0,_xlfn.RANK.EQ(Table1[[#This Row],[Punkte LSC]],Table1[Punkte LSC],0)," ")</f>
        <v>3</v>
      </c>
      <c r="K12" s="7">
        <f>IF(Table1[[#This Row],[Zeit LSC]]&gt;0,MIN(Table1[Zeit LSC])/Table1[[#This Row],[Zeit LSC]]*1000,0)</f>
        <v>822.00086617583383</v>
      </c>
      <c r="L12" s="11">
        <f>IF(Table1[[#This Row],[Zeit LSC]]&gt;0,SUM(IF(Table1[[#This Row],[Alter]]&gt;40,(Table1[[#This Row],[Alter]]-40)*4,0),IF(AND(Table1[[#This Row],[Alter]]&lt;20,Table1[[#This Row],[Alter]]&gt;0),(20-Table1[[#This Row],[Alter]])*10,0)),0)</f>
        <v>0</v>
      </c>
      <c r="M12" s="7">
        <f>(Table1[[#This Row],[Punkte LSC]]+Table1[[#This Row],[Bonus LSC]])</f>
        <v>822.00086617583383</v>
      </c>
      <c r="N12" s="15">
        <f>IF(Table1[[#This Row],[Zeit LSC]]&gt;0,_xlfn.RANK.EQ(Table1[[#This Row],[Gesamt LSC]],Table1[Gesamt LSC],0)," ")</f>
        <v>3</v>
      </c>
      <c r="O12" s="9"/>
      <c r="P12" s="4" t="str">
        <f>IF(Table1[[#This Row],[Zeit LKC]]&gt;0,_xlfn.RANK.EQ(Table1[[#This Row],[Punkte LKC]],Table1[Punkte LKC],0)," ")</f>
        <v xml:space="preserve"> </v>
      </c>
      <c r="Q12" s="16">
        <f>IF(Table1[[#This Row],[Zeit LKC]]&gt;0,MIN(Table1[Zeit LKC])/Table1[[#This Row],[Zeit LKC]]*1000,0)</f>
        <v>0</v>
      </c>
      <c r="R12" s="17">
        <f>IF(Table1[[#This Row],[Zeit LKC]]&gt;0,SUM(IF(Table1[[#This Row],[Alter]]&gt;40,(Table1[[#This Row],[Alter]]-40)*4,0),IF(AND(Table1[[#This Row],[Alter]]&lt;20,Table1[[#This Row],[Alter]]&gt;0),(20-Table1[[#This Row],[Alter]])*10,0)),0)</f>
        <v>0</v>
      </c>
      <c r="S12" s="16">
        <f>(Table1[[#This Row],[Punkte LKC]]+Table1[[#This Row],[Bonus LKC]])</f>
        <v>0</v>
      </c>
      <c r="T12" s="18" t="str">
        <f>IF(Table1[[#This Row],[Zeit LKC]]&gt;0,_xlfn.RANK.EQ(Table1[[#This Row],[Gesamt LKC]],Table1[Gesamt LKC],0)," ")</f>
        <v xml:space="preserve"> </v>
      </c>
      <c r="U12" s="23">
        <f t="shared" si="1"/>
        <v>822.00086617583383</v>
      </c>
      <c r="V12" s="9"/>
      <c r="W12" s="12" t="str">
        <f>IF(Table1[[#This Row],[Zeit S&amp;R]]&gt;0,_xlfn.RANK.EQ(Table1[[#This Row],[Punkte S&amp;R]],Table1[Punkte S&amp;R],0)," ")</f>
        <v xml:space="preserve"> </v>
      </c>
      <c r="X12" s="7">
        <f>IF(Table1[[#This Row],[Zeit S&amp;R]]&gt;0,MIN(Table1[Zeit S&amp;R])/Table1[[#This Row],[Zeit S&amp;R]]*1000,0)</f>
        <v>0</v>
      </c>
      <c r="Y12" s="8">
        <f>IF(Table1[[#This Row],[Zeit S&amp;R]]&gt;0,SUM(IF(Table1[[#This Row],[Alter]]&gt;40,(Table1[[#This Row],[Alter]]-40)*4,0),IF(AND(Table1[[#This Row],[Alter]]&lt;20,Table1[[#This Row],[Alter]]&gt;0),(20-Table1[[#This Row],[Alter]])*10,0)),0)</f>
        <v>0</v>
      </c>
      <c r="Z12" s="7">
        <f>(Table1[[#This Row],[Punkte S&amp;R]]+Table1[[#This Row],[Bonus S&amp;R]])</f>
        <v>0</v>
      </c>
      <c r="AA12" s="15" t="str">
        <f>IF(Table1[[#This Row],[Zeit S&amp;R]]&gt;0,_xlfn.RANK.EQ(Table1[[#This Row],[Gesamt S&amp;R]],Table1[Gesamt S&amp;R],0)," ")</f>
        <v xml:space="preserve"> </v>
      </c>
      <c r="AB12" s="14"/>
      <c r="AC12" s="15" t="str">
        <f>IF(Table1[[#This Row],[Zeit LC]]&gt;0,_xlfn.RANK.EQ(Table1[[#This Row],[Punkte LC]],Table1[Punkte LC],0)," ")</f>
        <v xml:space="preserve"> </v>
      </c>
      <c r="AD12" s="7">
        <f>IF(Table1[[#This Row],[Zeit LC]]&gt;0,MIN(Table1[Zeit LC])/Table1[[#This Row],[Zeit LC]]*1000,0)</f>
        <v>0</v>
      </c>
      <c r="AE12" s="7">
        <f>IF(Table1[[#This Row],[Zeit LC]]&gt;0,SUM(IF(Table1[[#This Row],[Alter]]&gt;40,(Table1[[#This Row],[Alter]]-40)*4,0),IF(AND(Table1[[#This Row],[Alter]]&lt;20,Table1[[#This Row],[Alter]]&gt;0),(20-Table1[[#This Row],[Alter]])*10,0)),0)</f>
        <v>0</v>
      </c>
      <c r="AF12" s="7">
        <f>(Table1[[#This Row],[Punkte LC]]+Table1[[#This Row],[Bonus LC]])</f>
        <v>0</v>
      </c>
      <c r="AG12" s="15" t="str">
        <f>IF(Table1[[#This Row],[Zeit LC]]&gt;0,_xlfn.RANK.EQ(Table1[[#This Row],[Gesamt LC]],Table1[Gesamt LC],0)," ")</f>
        <v xml:space="preserve"> </v>
      </c>
      <c r="AH12" s="23">
        <f t="shared" si="2"/>
        <v>0</v>
      </c>
      <c r="AI12" s="9"/>
      <c r="AJ12" s="12" t="str">
        <f>IF(Table1[[#This Row],[Zeit BZF]]&gt;0,_xlfn.RANK.EQ(Table1[[#This Row],[Punkte BZF]],Table1[Punkte BZF],0)," ")</f>
        <v xml:space="preserve"> </v>
      </c>
      <c r="AK12" s="10">
        <f>IF(Table1[[#This Row],[Zeit BZF]]&gt;0,MIN(Table1[Zeit BZF])/Table1[[#This Row],[Zeit BZF]]*1000,0)</f>
        <v>0</v>
      </c>
      <c r="AL12" s="8">
        <f>IF(Table1[[#This Row],[Zeit BZF]]&gt;0,SUM(IF(Table1[[#This Row],[Alter]]&gt;40,(Table1[[#This Row],[Alter]]-40)*4,0),IF(AND(Table1[[#This Row],[Alter]]&lt;20,Table1[[#This Row],[Alter]]&gt;0),(20-Table1[[#This Row],[Alter]])*10,0)),0)</f>
        <v>0</v>
      </c>
      <c r="AM12" s="7">
        <f>(Table1[[#This Row],[Punkte BZF]]+Table1[[#This Row],[Bonus BZF]])</f>
        <v>0</v>
      </c>
      <c r="AN12" s="15" t="str">
        <f>IF(Table1[[#This Row],[Zeit BZF]]&gt;0,_xlfn.RANK.EQ(Table1[[#This Row],[Gesamt BZF]],Table1[Gesamt BZF],0)," ")</f>
        <v xml:space="preserve"> </v>
      </c>
      <c r="AO12" s="9"/>
      <c r="AP12" s="12" t="str">
        <f>IF(Table1[[#This Row],[Zeit EZF]]&gt;0,_xlfn.RANK.EQ(Table1[[#This Row],[Punkte EZF]],Table1[Punkte EZF],0)," ")</f>
        <v xml:space="preserve"> </v>
      </c>
      <c r="AQ12" s="10">
        <f>IF(Table1[[#This Row],[Zeit EZF]]&gt;0,MIN(Table1[Zeit EZF])/Table1[[#This Row],[Zeit EZF]]*1000,0)</f>
        <v>0</v>
      </c>
      <c r="AR12" s="8">
        <f>IF(Table1[[#This Row],[Zeit EZF]]&gt;0,SUM(IF(Table1[[#This Row],[Alter]]&gt;40,(Table1[[#This Row],[Alter]]-40)*4,0),IF(AND(Table1[[#This Row],[Alter]]&lt;20,Table1[[#This Row],[Alter]]&gt;0),(20-Table1[[#This Row],[Alter]])*10,0)),0)</f>
        <v>0</v>
      </c>
      <c r="AS12" s="7">
        <f>(Table1[[#This Row],[Punkte EZF]]+Table1[[#This Row],[Bonus EZF]])</f>
        <v>0</v>
      </c>
      <c r="AT12" s="15" t="str">
        <f>IF(Table1[[#This Row],[Zeit EZF]]&gt;0,_xlfn.RANK.EQ(Table1[[#This Row],[Gesamt EZF]],Table1[Gesamt EZF],0)," ")</f>
        <v xml:space="preserve"> </v>
      </c>
      <c r="AU12" s="26">
        <f t="shared" si="3"/>
        <v>0</v>
      </c>
    </row>
    <row r="13" spans="1:47" x14ac:dyDescent="0.25">
      <c r="A13" s="1" t="s">
        <v>153</v>
      </c>
      <c r="B13" s="1" t="s">
        <v>154</v>
      </c>
      <c r="C13" s="5"/>
      <c r="D13" s="5">
        <v>2002</v>
      </c>
      <c r="E13" s="6">
        <f>IF(Table1[[#This Row],[JG]],2024-Table1[[#This Row],[JG]],0)</f>
        <v>22</v>
      </c>
      <c r="F13" s="4" t="s">
        <v>34</v>
      </c>
      <c r="G13" s="49">
        <f t="shared" si="0"/>
        <v>816.55979927516046</v>
      </c>
      <c r="H13" s="35">
        <f>_xlfn.RANK.EQ(Table1[[#This Row],[Gesamtpunkte]],Table1[Gesamtpunkte],0)</f>
        <v>11</v>
      </c>
      <c r="I13" s="28"/>
      <c r="J13" s="29" t="str">
        <f>IF(Table1[[#This Row],[Zeit LSC]]&gt;0,_xlfn.RANK.EQ(Table1[[#This Row],[Punkte LSC]],Table1[Punkte LSC],0)," ")</f>
        <v xml:space="preserve"> </v>
      </c>
      <c r="K13" s="30">
        <f>IF(Table1[[#This Row],[Zeit LSC]]&gt;0,MIN(Table1[Zeit LSC])/Table1[[#This Row],[Zeit LSC]]*1000,0)</f>
        <v>0</v>
      </c>
      <c r="L13" s="11">
        <f>IF(Table1[[#This Row],[Zeit LSC]]&gt;0,SUM(IF(Table1[[#This Row],[Alter]]&gt;40,(Table1[[#This Row],[Alter]]-40)*4,0),IF(AND(Table1[[#This Row],[Alter]]&lt;20,Table1[[#This Row],[Alter]]&gt;0),(20-Table1[[#This Row],[Alter]])*10,0)),0)</f>
        <v>0</v>
      </c>
      <c r="M13" s="30">
        <f>(Table1[[#This Row],[Punkte LSC]]+Table1[[#This Row],[Bonus LSC]])</f>
        <v>0</v>
      </c>
      <c r="N13" s="32" t="str">
        <f>IF(Table1[[#This Row],[Zeit LSC]]&gt;0,_xlfn.RANK.EQ(Table1[[#This Row],[Gesamt LSC]],Table1[Gesamt LSC],0)," ")</f>
        <v xml:space="preserve"> </v>
      </c>
      <c r="O13" s="34"/>
      <c r="P13" s="6" t="str">
        <f>IF(Table1[[#This Row],[Zeit LKC]]&gt;0,_xlfn.RANK.EQ(Table1[[#This Row],[Punkte LKC]],Table1[Punkte LKC],0)," ")</f>
        <v xml:space="preserve"> </v>
      </c>
      <c r="Q13" s="16">
        <f>IF(Table1[[#This Row],[Zeit LKC]]&gt;0,MIN(Table1[Zeit LKC])/Table1[[#This Row],[Zeit LKC]]*1000,0)</f>
        <v>0</v>
      </c>
      <c r="R13" s="33">
        <f>IF(Table1[[#This Row],[Zeit LKC]]&gt;0,SUM(IF(Table1[[#This Row],[Alter]]&gt;40,(Table1[[#This Row],[Alter]]-40)*4,0),IF(AND(Table1[[#This Row],[Alter]]&lt;20,Table1[[#This Row],[Alter]]&gt;0),(20-Table1[[#This Row],[Alter]])*10,0)),0)</f>
        <v>0</v>
      </c>
      <c r="S13" s="19">
        <f>(Table1[[#This Row],[Punkte LKC]]+Table1[[#This Row],[Bonus LKC]])</f>
        <v>0</v>
      </c>
      <c r="T13" s="25" t="str">
        <f>IF(Table1[[#This Row],[Zeit LKC]]&gt;0,_xlfn.RANK.EQ(Table1[[#This Row],[Gesamt LKC]],Table1[Gesamt LKC],0)," ")</f>
        <v xml:space="preserve"> </v>
      </c>
      <c r="U13" s="23">
        <f t="shared" si="1"/>
        <v>0</v>
      </c>
      <c r="V13" s="14">
        <v>4.1516203703703701E-2</v>
      </c>
      <c r="W13" s="12">
        <f>IF(Table1[[#This Row],[Zeit S&amp;R]]&gt;0,_xlfn.RANK.EQ(Table1[[#This Row],[Punkte S&amp;R]],Table1[Punkte S&amp;R],0)," ")</f>
        <v>4</v>
      </c>
      <c r="X13" s="10">
        <f>IF(Table1[[#This Row],[Zeit S&amp;R]]&gt;0,MIN(Table1[Zeit S&amp;R])/Table1[[#This Row],[Zeit S&amp;R]]*1000,0)</f>
        <v>816.55979927516046</v>
      </c>
      <c r="Y13" s="11">
        <f>IF(Table1[[#This Row],[Zeit S&amp;R]]&gt;0,SUM(IF(Table1[[#This Row],[Alter]]&gt;40,(Table1[[#This Row],[Alter]]-40)*4,0),IF(AND(Table1[[#This Row],[Alter]]&lt;20,Table1[[#This Row],[Alter]]&gt;0),(20-Table1[[#This Row],[Alter]])*10,0)),0)</f>
        <v>0</v>
      </c>
      <c r="Z13" s="10">
        <f>(Table1[[#This Row],[Punkte S&amp;R]]+Table1[[#This Row],[Bonus S&amp;R]])</f>
        <v>816.55979927516046</v>
      </c>
      <c r="AA13" s="21">
        <f>IF(Table1[[#This Row],[Zeit S&amp;R]]&gt;0,_xlfn.RANK.EQ(Table1[[#This Row],[Gesamt S&amp;R]],Table1[Gesamt S&amp;R],0)," ")</f>
        <v>5</v>
      </c>
      <c r="AB13" s="14"/>
      <c r="AC13" s="21" t="str">
        <f>IF(Table1[[#This Row],[Zeit LC]]&gt;0,_xlfn.RANK.EQ(Table1[[#This Row],[Punkte LC]],Table1[Punkte LC],0)," ")</f>
        <v xml:space="preserve"> </v>
      </c>
      <c r="AD13" s="10">
        <f>IF(Table1[[#This Row],[Zeit LC]]&gt;0,MIN(Table1[Zeit LC])/Table1[[#This Row],[Zeit LC]]*1000,0)</f>
        <v>0</v>
      </c>
      <c r="AE13" s="10">
        <f>IF(Table1[[#This Row],[Zeit LC]]&gt;0,SUM(IF(Table1[[#This Row],[Alter]]&gt;40,(Table1[[#This Row],[Alter]]-40)*4,0),IF(AND(Table1[[#This Row],[Alter]]&lt;20,Table1[[#This Row],[Alter]]&gt;0),(20-Table1[[#This Row],[Alter]])*10,0)),0)</f>
        <v>0</v>
      </c>
      <c r="AF13" s="10">
        <f>(Table1[[#This Row],[Punkte LC]]+Table1[[#This Row],[Bonus LC]])</f>
        <v>0</v>
      </c>
      <c r="AG13" s="21" t="str">
        <f>IF(Table1[[#This Row],[Zeit LC]]&gt;0,_xlfn.RANK.EQ(Table1[[#This Row],[Gesamt LC]],Table1[Gesamt LC],0)," ")</f>
        <v xml:space="preserve"> </v>
      </c>
      <c r="AH13" s="23">
        <f t="shared" si="2"/>
        <v>816.55979927516046</v>
      </c>
      <c r="AI13" s="14"/>
      <c r="AJ13" s="12" t="str">
        <f>IF(Table1[[#This Row],[Zeit BZF]]&gt;0,_xlfn.RANK.EQ(Table1[[#This Row],[Punkte BZF]],Table1[Punkte BZF],0)," ")</f>
        <v xml:space="preserve"> </v>
      </c>
      <c r="AK13" s="10">
        <f>IF(Table1[[#This Row],[Zeit BZF]]&gt;0,MIN(Table1[Zeit BZF])/Table1[[#This Row],[Zeit BZF]]*1000,0)</f>
        <v>0</v>
      </c>
      <c r="AL13" s="11">
        <f>IF(Table1[[#This Row],[Zeit BZF]]&gt;0,SUM(IF(Table1[[#This Row],[Alter]]&gt;40,(Table1[[#This Row],[Alter]]-40)*4,0),IF(AND(Table1[[#This Row],[Alter]]&lt;20,Table1[[#This Row],[Alter]]&gt;0),(20-Table1[[#This Row],[Alter]])*10,0)),0)</f>
        <v>0</v>
      </c>
      <c r="AM13" s="10">
        <f>(Table1[[#This Row],[Punkte BZF]]+Table1[[#This Row],[Bonus BZF]])</f>
        <v>0</v>
      </c>
      <c r="AN13" s="21" t="str">
        <f>IF(Table1[[#This Row],[Zeit BZF]]&gt;0,_xlfn.RANK.EQ(Table1[[#This Row],[Gesamt BZF]],Table1[Gesamt BZF],0)," ")</f>
        <v xml:space="preserve"> </v>
      </c>
      <c r="AO13" s="14"/>
      <c r="AP13" s="12" t="str">
        <f>IF(Table1[[#This Row],[Zeit EZF]]&gt;0,_xlfn.RANK.EQ(Table1[[#This Row],[Punkte EZF]],Table1[Punkte EZF],0)," ")</f>
        <v xml:space="preserve"> </v>
      </c>
      <c r="AQ13" s="10">
        <f>IF(Table1[[#This Row],[Zeit EZF]]&gt;0,MIN(Table1[Zeit EZF])/Table1[[#This Row],[Zeit EZF]]*1000,0)</f>
        <v>0</v>
      </c>
      <c r="AR13" s="11">
        <f>IF(Table1[[#This Row],[Zeit EZF]]&gt;0,SUM(IF(Table1[[#This Row],[Alter]]&gt;40,(Table1[[#This Row],[Alter]]-40)*4,0),IF(AND(Table1[[#This Row],[Alter]]&lt;20,Table1[[#This Row],[Alter]]&gt;0),(20-Table1[[#This Row],[Alter]])*10,0)),0)</f>
        <v>0</v>
      </c>
      <c r="AS13" s="10">
        <f>(Table1[[#This Row],[Punkte EZF]]+Table1[[#This Row],[Bonus EZF]])</f>
        <v>0</v>
      </c>
      <c r="AT13" s="21" t="str">
        <f>IF(Table1[[#This Row],[Zeit EZF]]&gt;0,_xlfn.RANK.EQ(Table1[[#This Row],[Gesamt EZF]],Table1[Gesamt EZF],0)," ")</f>
        <v xml:space="preserve"> </v>
      </c>
      <c r="AU13" s="26">
        <f t="shared" ref="AU13" si="6">MAX( AM13,AS13)</f>
        <v>0</v>
      </c>
    </row>
    <row r="14" spans="1:47" x14ac:dyDescent="0.25">
      <c r="A14" s="1" t="s">
        <v>155</v>
      </c>
      <c r="B14" s="1" t="s">
        <v>156</v>
      </c>
      <c r="C14" s="5"/>
      <c r="D14" s="5">
        <v>1989</v>
      </c>
      <c r="E14" s="6">
        <f>IF(Table1[[#This Row],[JG]],2024-Table1[[#This Row],[JG]],0)</f>
        <v>35</v>
      </c>
      <c r="F14" s="5"/>
      <c r="G14" s="49">
        <f t="shared" si="0"/>
        <v>800.92972381733659</v>
      </c>
      <c r="H14" s="35">
        <f>_xlfn.RANK.EQ(Table1[[#This Row],[Gesamtpunkte]],Table1[Gesamtpunkte],0)</f>
        <v>12</v>
      </c>
      <c r="I14" s="9"/>
      <c r="J14" s="13" t="str">
        <f>IF(Table1[[#This Row],[Zeit LSC]]&gt;0,_xlfn.RANK.EQ(Table1[[#This Row],[Punkte LSC]],Table1[Punkte LSC],0)," ")</f>
        <v xml:space="preserve"> </v>
      </c>
      <c r="K14" s="7">
        <f>IF(Table1[[#This Row],[Zeit LSC]]&gt;0,MIN(Table1[Zeit LSC])/Table1[[#This Row],[Zeit LSC]]*1000,0)</f>
        <v>0</v>
      </c>
      <c r="L14" s="8">
        <f>IF(Table1[[#This Row],[Zeit LSC]]&gt;0,SUM(IF(Table1[[#This Row],[Alter]]&gt;40,(Table1[[#This Row],[Alter]]-40)*4,0),IF(AND(Table1[[#This Row],[Alter]]&lt;20,Table1[[#This Row],[Alter]]&gt;0),(20-Table1[[#This Row],[Alter]])*10,0)),0)</f>
        <v>0</v>
      </c>
      <c r="M14" s="7">
        <f>(Table1[[#This Row],[Punkte LSC]]+Table1[[#This Row],[Bonus LSC]])</f>
        <v>0</v>
      </c>
      <c r="N14" s="15" t="str">
        <f>IF(Table1[[#This Row],[Zeit LSC]]&gt;0,_xlfn.RANK.EQ(Table1[[#This Row],[Gesamt LSC]],Table1[Gesamt LSC],0)," ")</f>
        <v xml:space="preserve"> </v>
      </c>
      <c r="O14" s="14"/>
      <c r="P14" s="6" t="str">
        <f>IF(Table1[[#This Row],[Zeit LKC]]&gt;0,_xlfn.RANK.EQ(Table1[[#This Row],[Punkte LKC]],Table1[Punkte LKC],0)," ")</f>
        <v xml:space="preserve"> </v>
      </c>
      <c r="Q14" s="16">
        <f>IF(Table1[[#This Row],[Zeit LKC]]&gt;0,MIN(Table1[Zeit LKC])/Table1[[#This Row],[Zeit LKC]]*1000,0)</f>
        <v>0</v>
      </c>
      <c r="R14" s="19">
        <f>IF(Table1[[#This Row],[Zeit LKC]]&gt;0,SUM(IF(Table1[[#This Row],[Alter]]&gt;40,(Table1[[#This Row],[Alter]]-40)*4,0),IF(AND(Table1[[#This Row],[Alter]]&lt;20,Table1[[#This Row],[Alter]]&gt;0),(20-Table1[[#This Row],[Alter]])*10,0)),0)</f>
        <v>0</v>
      </c>
      <c r="S14" s="19">
        <f>(Table1[[#This Row],[Punkte LKC]]+Table1[[#This Row],[Bonus LKC]])</f>
        <v>0</v>
      </c>
      <c r="T14" s="25" t="str">
        <f>IF(Table1[[#This Row],[Zeit LKC]]&gt;0,_xlfn.RANK.EQ(Table1[[#This Row],[Gesamt LKC]],Table1[Gesamt LKC],0)," ")</f>
        <v xml:space="preserve"> </v>
      </c>
      <c r="U14" s="23">
        <f t="shared" si="1"/>
        <v>0</v>
      </c>
      <c r="V14" s="14">
        <v>4.2326388888888893E-2</v>
      </c>
      <c r="W14" s="12">
        <f>IF(Table1[[#This Row],[Zeit S&amp;R]]&gt;0,_xlfn.RANK.EQ(Table1[[#This Row],[Punkte S&amp;R]],Table1[Punkte S&amp;R],0)," ")</f>
        <v>5</v>
      </c>
      <c r="X14" s="10">
        <f>IF(Table1[[#This Row],[Zeit S&amp;R]]&gt;0,MIN(Table1[Zeit S&amp;R])/Table1[[#This Row],[Zeit S&amp;R]]*1000,0)</f>
        <v>800.92972381733659</v>
      </c>
      <c r="Y14" s="11">
        <f>IF(Table1[[#This Row],[Zeit S&amp;R]]&gt;0,SUM(IF(Table1[[#This Row],[Alter]]&gt;40,(Table1[[#This Row],[Alter]]-40)*4,0),IF(AND(Table1[[#This Row],[Alter]]&lt;20,Table1[[#This Row],[Alter]]&gt;0),(20-Table1[[#This Row],[Alter]])*10,0)),0)</f>
        <v>0</v>
      </c>
      <c r="Z14" s="10">
        <f>(Table1[[#This Row],[Punkte S&amp;R]]+Table1[[#This Row],[Bonus S&amp;R]])</f>
        <v>800.92972381733659</v>
      </c>
      <c r="AA14" s="21">
        <f>IF(Table1[[#This Row],[Zeit S&amp;R]]&gt;0,_xlfn.RANK.EQ(Table1[[#This Row],[Gesamt S&amp;R]],Table1[Gesamt S&amp;R],0)," ")</f>
        <v>6</v>
      </c>
      <c r="AB14" s="14"/>
      <c r="AC14" s="21" t="str">
        <f>IF(Table1[[#This Row],[Zeit LC]]&gt;0,_xlfn.RANK.EQ(Table1[[#This Row],[Punkte LC]],Table1[Punkte LC],0)," ")</f>
        <v xml:space="preserve"> </v>
      </c>
      <c r="AD14" s="10">
        <f>IF(Table1[[#This Row],[Zeit LC]]&gt;0,MIN(Table1[Zeit LC])/Table1[[#This Row],[Zeit LC]]*1000,0)</f>
        <v>0</v>
      </c>
      <c r="AE14" s="10">
        <f>IF(Table1[[#This Row],[Zeit LC]]&gt;0,SUM(IF(Table1[[#This Row],[Alter]]&gt;40,(Table1[[#This Row],[Alter]]-40)*4,0),IF(AND(Table1[[#This Row],[Alter]]&lt;20,Table1[[#This Row],[Alter]]&gt;0),(20-Table1[[#This Row],[Alter]])*10,0)),0)</f>
        <v>0</v>
      </c>
      <c r="AF14" s="10">
        <f>(Table1[[#This Row],[Punkte LC]]+Table1[[#This Row],[Bonus LC]])</f>
        <v>0</v>
      </c>
      <c r="AG14" s="21" t="str">
        <f>IF(Table1[[#This Row],[Zeit LC]]&gt;0,_xlfn.RANK.EQ(Table1[[#This Row],[Gesamt LC]],Table1[Gesamt LC],0)," ")</f>
        <v xml:space="preserve"> </v>
      </c>
      <c r="AH14" s="23">
        <f t="shared" si="2"/>
        <v>800.92972381733659</v>
      </c>
      <c r="AI14" s="14"/>
      <c r="AJ14" s="12" t="str">
        <f>IF(Table1[[#This Row],[Zeit BZF]]&gt;0,_xlfn.RANK.EQ(Table1[[#This Row],[Punkte BZF]],Table1[Punkte BZF],0)," ")</f>
        <v xml:space="preserve"> </v>
      </c>
      <c r="AK14" s="10">
        <f>IF(Table1[[#This Row],[Zeit BZF]]&gt;0,MIN(Table1[Zeit BZF])/Table1[[#This Row],[Zeit BZF]]*1000,0)</f>
        <v>0</v>
      </c>
      <c r="AL14" s="11">
        <f>IF(Table1[[#This Row],[Zeit BZF]]&gt;0,SUM(IF(Table1[[#This Row],[Alter]]&gt;40,(Table1[[#This Row],[Alter]]-40)*4,0),IF(AND(Table1[[#This Row],[Alter]]&lt;20,Table1[[#This Row],[Alter]]&gt;0),(20-Table1[[#This Row],[Alter]])*10,0)),0)</f>
        <v>0</v>
      </c>
      <c r="AM14" s="10">
        <f>(Table1[[#This Row],[Punkte BZF]]+Table1[[#This Row],[Bonus BZF]])</f>
        <v>0</v>
      </c>
      <c r="AN14" s="21" t="str">
        <f>IF(Table1[[#This Row],[Zeit BZF]]&gt;0,_xlfn.RANK.EQ(Table1[[#This Row],[Gesamt BZF]],Table1[Gesamt BZF],0)," ")</f>
        <v xml:space="preserve"> </v>
      </c>
      <c r="AO14" s="14"/>
      <c r="AP14" s="12" t="str">
        <f>IF(Table1[[#This Row],[Zeit EZF]]&gt;0,_xlfn.RANK.EQ(Table1[[#This Row],[Punkte EZF]],Table1[Punkte EZF],0)," ")</f>
        <v xml:space="preserve"> </v>
      </c>
      <c r="AQ14" s="10">
        <f>IF(Table1[[#This Row],[Zeit EZF]]&gt;0,MIN(Table1[Zeit EZF])/Table1[[#This Row],[Zeit EZF]]*1000,0)</f>
        <v>0</v>
      </c>
      <c r="AR14" s="11">
        <f>IF(Table1[[#This Row],[Zeit EZF]]&gt;0,SUM(IF(Table1[[#This Row],[Alter]]&gt;40,(Table1[[#This Row],[Alter]]-40)*4,0),IF(AND(Table1[[#This Row],[Alter]]&lt;20,Table1[[#This Row],[Alter]]&gt;0),(20-Table1[[#This Row],[Alter]])*10,0)),0)</f>
        <v>0</v>
      </c>
      <c r="AS14" s="10">
        <f>(Table1[[#This Row],[Punkte EZF]]+Table1[[#This Row],[Bonus EZF]])</f>
        <v>0</v>
      </c>
      <c r="AT14" s="21" t="str">
        <f>IF(Table1[[#This Row],[Zeit EZF]]&gt;0,_xlfn.RANK.EQ(Table1[[#This Row],[Gesamt EZF]],Table1[Gesamt EZF],0)," ")</f>
        <v xml:space="preserve"> </v>
      </c>
      <c r="AU14" s="26">
        <f t="shared" ref="AU14" si="7">MAX( AM14,AS14)</f>
        <v>0</v>
      </c>
    </row>
    <row r="15" spans="1:47" x14ac:dyDescent="0.25">
      <c r="A15" s="1" t="s">
        <v>159</v>
      </c>
      <c r="B15" s="1" t="s">
        <v>93</v>
      </c>
      <c r="C15" s="5"/>
      <c r="D15" s="5">
        <v>1961</v>
      </c>
      <c r="E15" s="6">
        <f>IF(Table1[[#This Row],[JG]],2024-Table1[[#This Row],[JG]],0)</f>
        <v>63</v>
      </c>
      <c r="F15" s="4" t="s">
        <v>34</v>
      </c>
      <c r="G15" s="49">
        <f t="shared" si="0"/>
        <v>764.86928555019529</v>
      </c>
      <c r="H15" s="35">
        <f>_xlfn.RANK.EQ(Table1[[#This Row],[Gesamtpunkte]],Table1[Gesamtpunkte],0)</f>
        <v>13</v>
      </c>
      <c r="I15" s="9"/>
      <c r="J15" s="36" t="str">
        <f>IF(Table1[[#This Row],[Zeit LSC]]&gt;0,_xlfn.RANK.EQ(Table1[[#This Row],[Punkte LSC]],Table1[Punkte LSC],0)," ")</f>
        <v xml:space="preserve"> </v>
      </c>
      <c r="K15" s="7">
        <f>IF(Table1[[#This Row],[Zeit LSC]]&gt;0,MIN(Table1[Zeit LSC])/Table1[[#This Row],[Zeit LSC]]*1000,0)</f>
        <v>0</v>
      </c>
      <c r="L15" s="8">
        <f>IF(Table1[[#This Row],[Zeit LSC]]&gt;0,SUM(IF(Table1[[#This Row],[Alter]]&gt;40,(Table1[[#This Row],[Alter]]-40)*4,0),IF(AND(Table1[[#This Row],[Alter]]&lt;20,Table1[[#This Row],[Alter]]&gt;0),(20-Table1[[#This Row],[Alter]])*10,0)),0)</f>
        <v>0</v>
      </c>
      <c r="M15" s="7">
        <f>(Table1[[#This Row],[Punkte LSC]]+Table1[[#This Row],[Bonus LSC]])</f>
        <v>0</v>
      </c>
      <c r="N15" s="15" t="str">
        <f>IF(Table1[[#This Row],[Zeit LSC]]&gt;0,_xlfn.RANK.EQ(Table1[[#This Row],[Gesamt LSC]],Table1[Gesamt LSC],0)," ")</f>
        <v xml:space="preserve"> </v>
      </c>
      <c r="O15" s="34"/>
      <c r="P15" s="6" t="str">
        <f>IF(Table1[[#This Row],[Zeit LKC]]&gt;0,_xlfn.RANK.EQ(Table1[[#This Row],[Punkte LKC]],Table1[Punkte LKC],0)," ")</f>
        <v xml:space="preserve"> </v>
      </c>
      <c r="Q15" s="16">
        <f>IF(Table1[[#This Row],[Zeit LKC]]&gt;0,MIN(Table1[Zeit LKC])/Table1[[#This Row],[Zeit LKC]]*1000,0)</f>
        <v>0</v>
      </c>
      <c r="R15" s="33">
        <f>IF(Table1[[#This Row],[Zeit LKC]]&gt;0,SUM(IF(Table1[[#This Row],[Alter]]&gt;40,(Table1[[#This Row],[Alter]]-40)*4,0),IF(AND(Table1[[#This Row],[Alter]]&lt;20,Table1[[#This Row],[Alter]]&gt;0),(20-Table1[[#This Row],[Alter]])*10,0)),0)</f>
        <v>0</v>
      </c>
      <c r="S15" s="19">
        <f>(Table1[[#This Row],[Punkte LKC]]+Table1[[#This Row],[Bonus LKC]])</f>
        <v>0</v>
      </c>
      <c r="T15" s="25" t="str">
        <f>IF(Table1[[#This Row],[Zeit LKC]]&gt;0,_xlfn.RANK.EQ(Table1[[#This Row],[Gesamt LKC]],Table1[Gesamt LKC],0)," ")</f>
        <v xml:space="preserve"> </v>
      </c>
      <c r="U15" s="23">
        <f t="shared" si="1"/>
        <v>0</v>
      </c>
      <c r="V15" s="14">
        <v>5.0381944444444444E-2</v>
      </c>
      <c r="W15" s="12">
        <f>IF(Table1[[#This Row],[Zeit S&amp;R]]&gt;0,_xlfn.RANK.EQ(Table1[[#This Row],[Punkte S&amp;R]],Table1[Punkte S&amp;R],0)," ")</f>
        <v>7</v>
      </c>
      <c r="X15" s="10">
        <f>IF(Table1[[#This Row],[Zeit S&amp;R]]&gt;0,MIN(Table1[Zeit S&amp;R])/Table1[[#This Row],[Zeit S&amp;R]]*1000,0)</f>
        <v>672.86928555019529</v>
      </c>
      <c r="Y15" s="11">
        <f>IF(Table1[[#This Row],[Zeit S&amp;R]]&gt;0,SUM(IF(Table1[[#This Row],[Alter]]&gt;40,(Table1[[#This Row],[Alter]]-40)*4,0),IF(AND(Table1[[#This Row],[Alter]]&lt;20,Table1[[#This Row],[Alter]]&gt;0),(20-Table1[[#This Row],[Alter]])*10,0)),0)</f>
        <v>92</v>
      </c>
      <c r="Z15" s="10">
        <f>(Table1[[#This Row],[Punkte S&amp;R]]+Table1[[#This Row],[Bonus S&amp;R]])</f>
        <v>764.86928555019529</v>
      </c>
      <c r="AA15" s="21">
        <f>IF(Table1[[#This Row],[Zeit S&amp;R]]&gt;0,_xlfn.RANK.EQ(Table1[[#This Row],[Gesamt S&amp;R]],Table1[Gesamt S&amp;R],0)," ")</f>
        <v>7</v>
      </c>
      <c r="AB15" s="14"/>
      <c r="AC15" s="21" t="str">
        <f>IF(Table1[[#This Row],[Zeit LC]]&gt;0,_xlfn.RANK.EQ(Table1[[#This Row],[Punkte LC]],Table1[Punkte LC],0)," ")</f>
        <v xml:space="preserve"> </v>
      </c>
      <c r="AD15" s="10">
        <f>IF(Table1[[#This Row],[Zeit LC]]&gt;0,MIN(Table1[Zeit LC])/Table1[[#This Row],[Zeit LC]]*1000,0)</f>
        <v>0</v>
      </c>
      <c r="AE15" s="10">
        <f>IF(Table1[[#This Row],[Zeit LC]]&gt;0,SUM(IF(Table1[[#This Row],[Alter]]&gt;40,(Table1[[#This Row],[Alter]]-40)*4,0),IF(AND(Table1[[#This Row],[Alter]]&lt;20,Table1[[#This Row],[Alter]]&gt;0),(20-Table1[[#This Row],[Alter]])*10,0)),0)</f>
        <v>0</v>
      </c>
      <c r="AF15" s="10">
        <f>(Table1[[#This Row],[Punkte LC]]+Table1[[#This Row],[Bonus LC]])</f>
        <v>0</v>
      </c>
      <c r="AG15" s="21" t="str">
        <f>IF(Table1[[#This Row],[Zeit LC]]&gt;0,_xlfn.RANK.EQ(Table1[[#This Row],[Gesamt LC]],Table1[Gesamt LC],0)," ")</f>
        <v xml:space="preserve"> </v>
      </c>
      <c r="AH15" s="23">
        <f t="shared" si="2"/>
        <v>764.86928555019529</v>
      </c>
      <c r="AI15" s="14"/>
      <c r="AJ15" s="12" t="str">
        <f>IF(Table1[[#This Row],[Zeit BZF]]&gt;0,_xlfn.RANK.EQ(Table1[[#This Row],[Punkte BZF]],Table1[Punkte BZF],0)," ")</f>
        <v xml:space="preserve"> </v>
      </c>
      <c r="AK15" s="10">
        <f>IF(Table1[[#This Row],[Zeit BZF]]&gt;0,MIN(Table1[Zeit BZF])/Table1[[#This Row],[Zeit BZF]]*1000,0)</f>
        <v>0</v>
      </c>
      <c r="AL15" s="11">
        <f>IF(Table1[[#This Row],[Zeit BZF]]&gt;0,SUM(IF(Table1[[#This Row],[Alter]]&gt;40,(Table1[[#This Row],[Alter]]-40)*4,0),IF(AND(Table1[[#This Row],[Alter]]&lt;20,Table1[[#This Row],[Alter]]&gt;0),(20-Table1[[#This Row],[Alter]])*10,0)),0)</f>
        <v>0</v>
      </c>
      <c r="AM15" s="10">
        <f>(Table1[[#This Row],[Punkte BZF]]+Table1[[#This Row],[Bonus BZF]])</f>
        <v>0</v>
      </c>
      <c r="AN15" s="21" t="str">
        <f>IF(Table1[[#This Row],[Zeit BZF]]&gt;0,_xlfn.RANK.EQ(Table1[[#This Row],[Gesamt BZF]],Table1[Gesamt BZF],0)," ")</f>
        <v xml:space="preserve"> </v>
      </c>
      <c r="AO15" s="14"/>
      <c r="AP15" s="12" t="str">
        <f>IF(Table1[[#This Row],[Zeit EZF]]&gt;0,_xlfn.RANK.EQ(Table1[[#This Row],[Punkte EZF]],Table1[Punkte EZF],0)," ")</f>
        <v xml:space="preserve"> </v>
      </c>
      <c r="AQ15" s="10">
        <f>IF(Table1[[#This Row],[Zeit EZF]]&gt;0,MIN(Table1[Zeit EZF])/Table1[[#This Row],[Zeit EZF]]*1000,0)</f>
        <v>0</v>
      </c>
      <c r="AR15" s="11">
        <f>IF(Table1[[#This Row],[Zeit EZF]]&gt;0,SUM(IF(Table1[[#This Row],[Alter]]&gt;40,(Table1[[#This Row],[Alter]]-40)*4,0),IF(AND(Table1[[#This Row],[Alter]]&lt;20,Table1[[#This Row],[Alter]]&gt;0),(20-Table1[[#This Row],[Alter]])*10,0)),0)</f>
        <v>0</v>
      </c>
      <c r="AS15" s="10">
        <f>(Table1[[#This Row],[Punkte EZF]]+Table1[[#This Row],[Bonus EZF]])</f>
        <v>0</v>
      </c>
      <c r="AT15" s="21" t="str">
        <f>IF(Table1[[#This Row],[Zeit EZF]]&gt;0,_xlfn.RANK.EQ(Table1[[#This Row],[Gesamt EZF]],Table1[Gesamt EZF],0)," ")</f>
        <v xml:space="preserve"> </v>
      </c>
      <c r="AU15" s="26">
        <f t="shared" ref="AU15" si="8">MAX( AM15,AS15)</f>
        <v>0</v>
      </c>
    </row>
    <row r="16" spans="1:47" x14ac:dyDescent="0.25">
      <c r="A16" s="27" t="s">
        <v>136</v>
      </c>
      <c r="B16" s="1" t="s">
        <v>137</v>
      </c>
      <c r="C16" s="5"/>
      <c r="D16" s="5">
        <v>1997</v>
      </c>
      <c r="E16" s="6">
        <f>IF(Table1[[#This Row],[JG]],2024-Table1[[#This Row],[JG]],0)</f>
        <v>27</v>
      </c>
      <c r="F16" s="5"/>
      <c r="G16" s="49">
        <f t="shared" si="0"/>
        <v>633.68220742150334</v>
      </c>
      <c r="H16" s="39">
        <f>_xlfn.RANK.EQ(Table1[[#This Row],[Gesamtpunkte]],Table1[Gesamtpunkte],0)</f>
        <v>14</v>
      </c>
      <c r="I16" s="28"/>
      <c r="J16" s="29" t="str">
        <f>IF(Table1[[#This Row],[Zeit LSC]]&gt;0,_xlfn.RANK.EQ(Table1[[#This Row],[Punkte LSC]],Table1[Punkte LSC],0)," ")</f>
        <v xml:space="preserve"> </v>
      </c>
      <c r="K16" s="30">
        <f>IF(Table1[[#This Row],[Zeit LSC]]&gt;0,MIN(Table1[Zeit LSC])/Table1[[#This Row],[Zeit LSC]]*1000,0)</f>
        <v>0</v>
      </c>
      <c r="L16" s="31">
        <f>IF(Table1[[#This Row],[Zeit LSC]]&gt;0,SUM(IF(Table1[[#This Row],[Alter]]&gt;40,(Table1[[#This Row],[Alter]]-40)*4,0),IF(AND(Table1[[#This Row],[Alter]]&lt;20,Table1[[#This Row],[Alter]]&gt;0),(20-Table1[[#This Row],[Alter]])*10,0)),0)</f>
        <v>0</v>
      </c>
      <c r="M16" s="30">
        <f>(Table1[[#This Row],[Punkte LSC]]+Table1[[#This Row],[Bonus LSC]])</f>
        <v>0</v>
      </c>
      <c r="N16" s="32" t="str">
        <f>IF(Table1[[#This Row],[Zeit LSC]]&gt;0,_xlfn.RANK.EQ(Table1[[#This Row],[Gesamt LSC]],Table1[Gesamt LSC],0)," ")</f>
        <v xml:space="preserve"> </v>
      </c>
      <c r="O16" s="5"/>
      <c r="P16" s="6" t="str">
        <f>IF(Table1[[#This Row],[Zeit LKC]]&gt;0,_xlfn.RANK.EQ(Table1[[#This Row],[Punkte LKC]],Table1[Punkte LKC],0)," ")</f>
        <v xml:space="preserve"> </v>
      </c>
      <c r="Q16" s="16">
        <f>IF(Table1[[#This Row],[Zeit LKC]]&gt;0,MIN(Table1[Zeit LKC])/Table1[[#This Row],[Zeit LKC]]*1000,0)</f>
        <v>0</v>
      </c>
      <c r="R16" s="33">
        <f>IF(Table1[[#This Row],[Zeit LKC]]&gt;0,SUM(IF(Table1[[#This Row],[Alter]]&gt;40,(Table1[[#This Row],[Alter]]-40)*4,0),IF(AND(Table1[[#This Row],[Alter]]&lt;20,Table1[[#This Row],[Alter]]&gt;0),(20-Table1[[#This Row],[Alter]])*10,0)),0)</f>
        <v>0</v>
      </c>
      <c r="S16" s="19">
        <f>(Table1[[#This Row],[Punkte LKC]]+Table1[[#This Row],[Bonus LKC]])</f>
        <v>0</v>
      </c>
      <c r="T16" s="19" t="str">
        <f>IF(Table1[[#This Row],[Zeit LKC]]&gt;0,_xlfn.RANK.EQ(Table1[[#This Row],[Gesamt LKC]],Table1[Gesamt LKC],0)," ")</f>
        <v xml:space="preserve"> </v>
      </c>
      <c r="U16" s="23">
        <f t="shared" si="1"/>
        <v>0</v>
      </c>
      <c r="V16" s="14"/>
      <c r="W16" s="12" t="str">
        <f>IF(Table1[[#This Row],[Zeit S&amp;R]]&gt;0,_xlfn.RANK.EQ(Table1[[#This Row],[Punkte S&amp;R]],Table1[Punkte S&amp;R],0)," ")</f>
        <v xml:space="preserve"> </v>
      </c>
      <c r="X16" s="10">
        <f>IF(Table1[[#This Row],[Zeit S&amp;R]]&gt;0,MIN(Table1[Zeit S&amp;R])/Table1[[#This Row],[Zeit S&amp;R]]*1000,0)</f>
        <v>0</v>
      </c>
      <c r="Y16" s="11">
        <f>IF(Table1[[#This Row],[Zeit S&amp;R]]&gt;0,SUM(IF(Table1[[#This Row],[Alter]]&gt;40,(Table1[[#This Row],[Alter]]-40)*4,0),IF(AND(Table1[[#This Row],[Alter]]&lt;20,Table1[[#This Row],[Alter]]&gt;0),(20-Table1[[#This Row],[Alter]])*10,0)),0)</f>
        <v>0</v>
      </c>
      <c r="Z16" s="10">
        <f>(Table1[[#This Row],[Punkte S&amp;R]]+Table1[[#This Row],[Bonus S&amp;R]])</f>
        <v>0</v>
      </c>
      <c r="AA16" s="21" t="str">
        <f>IF(Table1[[#This Row],[Zeit S&amp;R]]&gt;0,_xlfn.RANK.EQ(Table1[[#This Row],[Gesamt S&amp;R]],Table1[Gesamt S&amp;R],0)," ")</f>
        <v xml:space="preserve"> </v>
      </c>
      <c r="AB16" s="14"/>
      <c r="AC16" s="21" t="str">
        <f>IF(Table1[[#This Row],[Zeit LC]]&gt;0,_xlfn.RANK.EQ(Table1[[#This Row],[Punkte LC]],Table1[Punkte LC],0)," ")</f>
        <v xml:space="preserve"> </v>
      </c>
      <c r="AD16" s="10">
        <f>IF(Table1[[#This Row],[Zeit LC]]&gt;0,MIN(Table1[Zeit LC])/Table1[[#This Row],[Zeit LC]]*1000,0)</f>
        <v>0</v>
      </c>
      <c r="AE16" s="10">
        <f>IF(Table1[[#This Row],[Zeit LC]]&gt;0,SUM(IF(Table1[[#This Row],[Alter]]&gt;40,(Table1[[#This Row],[Alter]]-40)*4,0),IF(AND(Table1[[#This Row],[Alter]]&lt;20,Table1[[#This Row],[Alter]]&gt;0),(20-Table1[[#This Row],[Alter]])*10,0)),0)</f>
        <v>0</v>
      </c>
      <c r="AF16" s="10">
        <f>(Table1[[#This Row],[Punkte LC]]+Table1[[#This Row],[Bonus LC]])</f>
        <v>0</v>
      </c>
      <c r="AG16" s="21" t="str">
        <f>IF(Table1[[#This Row],[Zeit LC]]&gt;0,_xlfn.RANK.EQ(Table1[[#This Row],[Gesamt LC]],Table1[Gesamt LC],0)," ")</f>
        <v xml:space="preserve"> </v>
      </c>
      <c r="AH16" s="23">
        <f t="shared" si="2"/>
        <v>0</v>
      </c>
      <c r="AI16" s="14">
        <v>2.4328703703703703E-2</v>
      </c>
      <c r="AJ16" s="12">
        <f>IF(Table1[[#This Row],[Zeit BZF]]&gt;0,_xlfn.RANK.EQ(Table1[[#This Row],[Punkte BZF]],Table1[Punkte BZF],0)," ")</f>
        <v>2</v>
      </c>
      <c r="AK16" s="10">
        <f>IF(Table1[[#This Row],[Zeit BZF]]&gt;0,MIN(Table1[Zeit BZF])/Table1[[#This Row],[Zeit BZF]]*1000,0)</f>
        <v>633.68220742150334</v>
      </c>
      <c r="AL16" s="11">
        <f>IF(Table1[[#This Row],[Zeit BZF]]&gt;0,SUM(IF(Table1[[#This Row],[Alter]]&gt;40,(Table1[[#This Row],[Alter]]-40)*4,0),IF(AND(Table1[[#This Row],[Alter]]&lt;20,Table1[[#This Row],[Alter]]&gt;0),(20-Table1[[#This Row],[Alter]])*10,0)),0)</f>
        <v>0</v>
      </c>
      <c r="AM16" s="10">
        <f>(Table1[[#This Row],[Punkte BZF]]+Table1[[#This Row],[Bonus BZF]])</f>
        <v>633.68220742150334</v>
      </c>
      <c r="AN16" s="21">
        <f>IF(Table1[[#This Row],[Zeit BZF]]&gt;0,_xlfn.RANK.EQ(Table1[[#This Row],[Gesamt BZF]],Table1[Gesamt BZF],0)," ")</f>
        <v>2</v>
      </c>
      <c r="AO16" s="14"/>
      <c r="AP16" s="12" t="str">
        <f>IF(Table1[[#This Row],[Zeit EZF]]&gt;0,_xlfn.RANK.EQ(Table1[[#This Row],[Punkte EZF]],Table1[Punkte EZF],0)," ")</f>
        <v xml:space="preserve"> </v>
      </c>
      <c r="AQ16" s="10">
        <f>IF(Table1[[#This Row],[Zeit EZF]]&gt;0,MIN(Table1[Zeit EZF])/Table1[[#This Row],[Zeit EZF]]*1000,0)</f>
        <v>0</v>
      </c>
      <c r="AR16" s="11">
        <f>IF(Table1[[#This Row],[Zeit EZF]]&gt;0,SUM(IF(Table1[[#This Row],[Alter]]&gt;40,(Table1[[#This Row],[Alter]]-40)*4,0),IF(AND(Table1[[#This Row],[Alter]]&lt;20,Table1[[#This Row],[Alter]]&gt;0),(20-Table1[[#This Row],[Alter]])*10,0)),0)</f>
        <v>0</v>
      </c>
      <c r="AS16" s="10">
        <f>(Table1[[#This Row],[Punkte EZF]]+Table1[[#This Row],[Bonus EZF]])</f>
        <v>0</v>
      </c>
      <c r="AT16" s="21" t="str">
        <f>IF(Table1[[#This Row],[Zeit EZF]]&gt;0,_xlfn.RANK.EQ(Table1[[#This Row],[Gesamt EZF]],Table1[Gesamt EZF],0)," ")</f>
        <v xml:space="preserve"> </v>
      </c>
      <c r="AU16" s="26">
        <f t="shared" si="3"/>
        <v>633.68220742150334</v>
      </c>
    </row>
  </sheetData>
  <mergeCells count="7">
    <mergeCell ref="G1:H1"/>
    <mergeCell ref="AO1:AT1"/>
    <mergeCell ref="AI1:AN1"/>
    <mergeCell ref="I1:N1"/>
    <mergeCell ref="V1:AA1"/>
    <mergeCell ref="AB1:AG1"/>
    <mergeCell ref="O1:T1"/>
  </mergeCells>
  <pageMargins left="0.7" right="0.7" top="0.75" bottom="0.75" header="0.3" footer="0.3"/>
  <pageSetup paperSize="9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56"/>
  <sheetViews>
    <sheetView zoomScale="85" zoomScaleNormal="85" workbookViewId="0">
      <pane xSplit="1" topLeftCell="B1" activePane="topRight" state="frozen"/>
      <selection pane="topRight" activeCell="G4" sqref="G4:G5"/>
    </sheetView>
  </sheetViews>
  <sheetFormatPr defaultColWidth="9.140625" defaultRowHeight="15" x14ac:dyDescent="0.25"/>
  <cols>
    <col min="1" max="1" width="11.85546875" customWidth="1"/>
    <col min="2" max="2" width="10" bestFit="1" customWidth="1"/>
    <col min="3" max="3" width="10" hidden="1" customWidth="1"/>
    <col min="4" max="4" width="5" bestFit="1" customWidth="1"/>
    <col min="5" max="5" width="5" customWidth="1"/>
    <col min="6" max="6" width="2.5703125" customWidth="1"/>
    <col min="7" max="7" width="11.42578125" bestFit="1" customWidth="1"/>
    <col min="8" max="8" width="12.7109375" customWidth="1"/>
    <col min="9" max="9" width="8.28515625" customWidth="1"/>
    <col min="10" max="10" width="7.28515625" customWidth="1"/>
    <col min="11" max="11" width="8.7109375" customWidth="1"/>
    <col min="12" max="12" width="8.140625" customWidth="1"/>
    <col min="13" max="13" width="11.7109375" customWidth="1"/>
    <col min="14" max="14" width="9.85546875" customWidth="1"/>
    <col min="15" max="15" width="7.85546875" customWidth="1"/>
    <col min="16" max="16" width="7.28515625" customWidth="1"/>
    <col min="17" max="19" width="9" customWidth="1"/>
    <col min="20" max="20" width="10.28515625" customWidth="1"/>
    <col min="21" max="21" width="8.28515625" customWidth="1"/>
    <col min="22" max="22" width="8" customWidth="1"/>
    <col min="24" max="24" width="10.5703125" customWidth="1"/>
    <col min="25" max="25" width="10" customWidth="1"/>
    <col min="26" max="27" width="11.28515625" customWidth="1"/>
    <col min="28" max="28" width="9.5703125" customWidth="1"/>
    <col min="29" max="29" width="8.7109375" customWidth="1"/>
    <col min="30" max="30" width="7.85546875" customWidth="1"/>
    <col min="31" max="31" width="9.85546875" customWidth="1"/>
    <col min="32" max="32" width="8.5703125" customWidth="1"/>
    <col min="33" max="34" width="9" customWidth="1"/>
    <col min="35" max="35" width="8" customWidth="1"/>
    <col min="37" max="37" width="10.5703125" customWidth="1"/>
    <col min="38" max="38" width="10" customWidth="1"/>
    <col min="39" max="40" width="11.28515625" customWidth="1"/>
    <col min="41" max="41" width="8" customWidth="1"/>
    <col min="43" max="43" width="10.5703125" customWidth="1"/>
    <col min="44" max="44" width="10" customWidth="1"/>
    <col min="45" max="46" width="11.28515625" customWidth="1"/>
    <col min="47" max="47" width="9" customWidth="1"/>
  </cols>
  <sheetData>
    <row r="1" spans="1:47" x14ac:dyDescent="0.25">
      <c r="A1" s="2"/>
      <c r="B1" s="2"/>
      <c r="C1" s="2"/>
      <c r="D1" s="2"/>
      <c r="E1" s="2"/>
      <c r="F1" s="2"/>
      <c r="G1" s="41" t="s">
        <v>39</v>
      </c>
      <c r="H1" s="42"/>
      <c r="I1" s="45" t="s">
        <v>132</v>
      </c>
      <c r="J1" s="45"/>
      <c r="K1" s="45"/>
      <c r="L1" s="45"/>
      <c r="M1" s="45"/>
      <c r="N1" s="45"/>
      <c r="O1" s="48" t="s">
        <v>113</v>
      </c>
      <c r="P1" s="48"/>
      <c r="Q1" s="48"/>
      <c r="R1" s="48"/>
      <c r="S1" s="48"/>
      <c r="T1" s="48"/>
      <c r="U1" s="22" t="s">
        <v>36</v>
      </c>
      <c r="V1" s="46" t="s">
        <v>20</v>
      </c>
      <c r="W1" s="46"/>
      <c r="X1" s="46"/>
      <c r="Y1" s="46"/>
      <c r="Z1" s="46"/>
      <c r="AA1" s="46"/>
      <c r="AB1" s="47" t="s">
        <v>26</v>
      </c>
      <c r="AC1" s="47"/>
      <c r="AD1" s="47"/>
      <c r="AE1" s="47"/>
      <c r="AF1" s="47"/>
      <c r="AG1" s="47"/>
      <c r="AH1" s="22" t="s">
        <v>37</v>
      </c>
      <c r="AI1" s="44" t="s">
        <v>40</v>
      </c>
      <c r="AJ1" s="44"/>
      <c r="AK1" s="44"/>
      <c r="AL1" s="44"/>
      <c r="AM1" s="44"/>
      <c r="AN1" s="44"/>
      <c r="AO1" s="43" t="s">
        <v>49</v>
      </c>
      <c r="AP1" s="43"/>
      <c r="AQ1" s="43"/>
      <c r="AR1" s="43"/>
      <c r="AS1" s="43"/>
      <c r="AT1" s="43"/>
      <c r="AU1" s="22" t="s">
        <v>47</v>
      </c>
    </row>
    <row r="2" spans="1:47" x14ac:dyDescent="0.25">
      <c r="A2" s="3" t="s">
        <v>0</v>
      </c>
      <c r="B2" s="3" t="s">
        <v>1</v>
      </c>
      <c r="C2" s="3" t="s">
        <v>17</v>
      </c>
      <c r="D2" s="3" t="s">
        <v>16</v>
      </c>
      <c r="E2" s="3" t="s">
        <v>18</v>
      </c>
      <c r="F2" s="3" t="s">
        <v>27</v>
      </c>
      <c r="G2" s="3" t="s">
        <v>2</v>
      </c>
      <c r="H2" s="3" t="s">
        <v>21</v>
      </c>
      <c r="I2" s="3" t="s">
        <v>3</v>
      </c>
      <c r="J2" s="3" t="s">
        <v>4</v>
      </c>
      <c r="K2" s="3" t="s">
        <v>5</v>
      </c>
      <c r="L2" s="3" t="s">
        <v>6</v>
      </c>
      <c r="M2" s="3" t="s">
        <v>7</v>
      </c>
      <c r="N2" s="3" t="s">
        <v>8</v>
      </c>
      <c r="O2" s="3" t="s">
        <v>28</v>
      </c>
      <c r="P2" s="3" t="s">
        <v>29</v>
      </c>
      <c r="Q2" s="3" t="s">
        <v>30</v>
      </c>
      <c r="R2" s="3" t="s">
        <v>31</v>
      </c>
      <c r="S2" s="3" t="s">
        <v>32</v>
      </c>
      <c r="T2" s="3" t="s">
        <v>33</v>
      </c>
      <c r="U2" s="3" t="s">
        <v>35</v>
      </c>
      <c r="V2" s="3" t="s">
        <v>9</v>
      </c>
      <c r="W2" s="3" t="s">
        <v>10</v>
      </c>
      <c r="X2" s="3" t="s">
        <v>11</v>
      </c>
      <c r="Y2" s="3" t="s">
        <v>12</v>
      </c>
      <c r="Z2" s="3" t="s">
        <v>19</v>
      </c>
      <c r="AA2" s="3" t="s">
        <v>13</v>
      </c>
      <c r="AB2" s="3" t="s">
        <v>14</v>
      </c>
      <c r="AC2" s="3" t="s">
        <v>22</v>
      </c>
      <c r="AD2" s="3" t="s">
        <v>23</v>
      </c>
      <c r="AE2" s="3" t="s">
        <v>24</v>
      </c>
      <c r="AF2" s="3" t="s">
        <v>25</v>
      </c>
      <c r="AG2" s="3" t="s">
        <v>15</v>
      </c>
      <c r="AH2" s="3" t="s">
        <v>38</v>
      </c>
      <c r="AI2" s="3" t="s">
        <v>41</v>
      </c>
      <c r="AJ2" s="3" t="s">
        <v>42</v>
      </c>
      <c r="AK2" s="3" t="s">
        <v>43</v>
      </c>
      <c r="AL2" s="3" t="s">
        <v>44</v>
      </c>
      <c r="AM2" s="3" t="s">
        <v>45</v>
      </c>
      <c r="AN2" s="3" t="s">
        <v>46</v>
      </c>
      <c r="AO2" s="3" t="s">
        <v>50</v>
      </c>
      <c r="AP2" s="3" t="s">
        <v>51</v>
      </c>
      <c r="AQ2" s="3" t="s">
        <v>52</v>
      </c>
      <c r="AR2" s="3" t="s">
        <v>53</v>
      </c>
      <c r="AS2" s="3" t="s">
        <v>54</v>
      </c>
      <c r="AT2" s="3" t="s">
        <v>55</v>
      </c>
      <c r="AU2" s="24" t="s">
        <v>48</v>
      </c>
    </row>
    <row r="3" spans="1:47" x14ac:dyDescent="0.25">
      <c r="A3" s="27" t="s">
        <v>78</v>
      </c>
      <c r="B3" s="1" t="s">
        <v>79</v>
      </c>
      <c r="C3" s="5"/>
      <c r="D3" s="5">
        <v>1996</v>
      </c>
      <c r="E3" s="6">
        <f>IF(Table13[[#This Row],[JG]],2024-Table13[[#This Row],[JG]],0)</f>
        <v>28</v>
      </c>
      <c r="F3" s="5"/>
      <c r="G3" s="49">
        <f>SUM(U3, AH3, AU3)</f>
        <v>2856.4875491480998</v>
      </c>
      <c r="H3" s="35">
        <f>_xlfn.RANK.EQ(Table13[[#This Row],[Gesamtpunkte]],Table13[Gesamtpunkte],0)</f>
        <v>1</v>
      </c>
      <c r="I3" s="9">
        <v>3.532407407407407E-2</v>
      </c>
      <c r="J3" s="36">
        <f>IF(Table13[[#This Row],[Zeit LSC]]&gt;0,_xlfn.RANK.EQ(Table13[[#This Row],[Punkte LSC]],Table13[Punkte LSC],0)," ")</f>
        <v>4</v>
      </c>
      <c r="K3" s="7">
        <f>IF(Table13[[#This Row],[Zeit LSC]]&gt;0,MIN(Table13[Zeit LSC])/Table13[[#This Row],[Zeit LSC]]*1000,0)</f>
        <v>856.48754914809979</v>
      </c>
      <c r="L3" s="8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3" s="7">
        <f>(Table13[[#This Row],[Punkte LSC]]+Table13[[#This Row],[Bonus LSC]])</f>
        <v>856.48754914809979</v>
      </c>
      <c r="N3" s="15">
        <f>IF(Table13[[#This Row],[Zeit LSC]]&gt;0,_xlfn.RANK.EQ(Table13[[#This Row],[Gesamt LSC]],Table13[Gesamt LSC],0)," ")</f>
        <v>4</v>
      </c>
      <c r="O3" s="38"/>
      <c r="P3" s="37" t="str">
        <f>IF(Table13[[#This Row],[Zeit LKC]]&gt;0,_xlfn.RANK.EQ(Table13[[#This Row],[Punkte LKC]],Table13[Punkte LKC],0)," ")</f>
        <v xml:space="preserve"> </v>
      </c>
      <c r="Q3" s="16">
        <f>IF(Table13[[#This Row],[Zeit LKC]]&gt;0,MIN(Table13[Zeit LKC])/Table13[[#This Row],[Zeit LKC]]*1000,0)</f>
        <v>0</v>
      </c>
      <c r="R3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3" s="16">
        <f>(Table13[[#This Row],[Punkte LKC]]+Table13[[#This Row],[Bonus LKC]])</f>
        <v>0</v>
      </c>
      <c r="T3" s="18" t="str">
        <f>IF(Table13[[#This Row],[Zeit LKC]]&gt;0,_xlfn.RANK.EQ(Table13[[#This Row],[Gesamt LKC]],Table13[Gesamt LKC],0)," ")</f>
        <v xml:space="preserve"> </v>
      </c>
      <c r="U3" s="23">
        <f>MAX( S3,M3)</f>
        <v>856.48754914809979</v>
      </c>
      <c r="V3" s="14">
        <v>3.3275462962962958E-2</v>
      </c>
      <c r="W3" s="12">
        <f>IF(Table13[[#This Row],[Zeit S&amp;R]]&gt;0,_xlfn.RANK.EQ(Table13[[#This Row],[Punkte S&amp;R]],Table13[Punkte S&amp;R],0)," ")</f>
        <v>5</v>
      </c>
      <c r="X3" s="10">
        <f>IF(Table13[[#This Row],[Zeit S&amp;R]]&gt;0,MIN(Table13[Zeit S&amp;R])/Table13[[#This Row],[Zeit S&amp;R]]*1000,0)</f>
        <v>913.73913043478274</v>
      </c>
      <c r="Y3" s="11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3" s="10">
        <f>(Table13[[#This Row],[Punkte S&amp;R]]+Table13[[#This Row],[Bonus S&amp;R]])</f>
        <v>913.73913043478274</v>
      </c>
      <c r="AA3" s="21">
        <f>IF(Table13[[#This Row],[Zeit S&amp;R]]&gt;0,_xlfn.RANK.EQ(Table13[[#This Row],[Gesamt S&amp;R]],Table13[Gesamt S&amp;R],0)," ")</f>
        <v>5</v>
      </c>
      <c r="AB3" s="14">
        <v>5.9236111111111107E-2</v>
      </c>
      <c r="AC3" s="21">
        <f>IF(Table13[[#This Row],[Zeit LC]]&gt;0,_xlfn.RANK.EQ(Table13[[#This Row],[Punkte LC]],Table13[Punkte LC],0)," ")</f>
        <v>1</v>
      </c>
      <c r="AD3" s="10">
        <f>IF(Table13[[#This Row],[Zeit LC]]&gt;0,MIN(Table13[Zeit LC])/Table13[[#This Row],[Zeit LC]]*1000,0)</f>
        <v>1000</v>
      </c>
      <c r="AE3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3" s="10">
        <f>(Table13[[#This Row],[Punkte LC]]+Table13[[#This Row],[Bonus LC]])</f>
        <v>1000</v>
      </c>
      <c r="AG3" s="21">
        <f>IF(Table13[[#This Row],[Zeit LC]]&gt;0,_xlfn.RANK.EQ(Table13[[#This Row],[Gesamt LC]],Table13[Gesamt LC],0)," ")</f>
        <v>1</v>
      </c>
      <c r="AH3" s="23">
        <f>MAX( Z3,AF3)</f>
        <v>1000</v>
      </c>
      <c r="AI3" s="14">
        <v>1.2638888888888889E-2</v>
      </c>
      <c r="AJ3" s="12">
        <f>IF(Table13[[#This Row],[Zeit BZF]]&gt;0,_xlfn.RANK.EQ(Table13[[#This Row],[Punkte BZF]],Table13[Punkte BZF],0)," ")</f>
        <v>1</v>
      </c>
      <c r="AK3" s="10">
        <f>IF(Table13[[#This Row],[Zeit BZF]]&gt;0,MIN(Table13[Zeit BZF])/Table13[[#This Row],[Zeit BZF]]*1000,0)</f>
        <v>1000</v>
      </c>
      <c r="AL3" s="11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3" s="10">
        <f>(Table13[[#This Row],[Punkte BZF]]+Table13[[#This Row],[Bonus BZF]])</f>
        <v>1000</v>
      </c>
      <c r="AN3" s="21">
        <f>IF(Table13[[#This Row],[Zeit BZF]]&gt;0,_xlfn.RANK.EQ(Table13[[#This Row],[Gesamt BZF]],Table13[Gesamt BZF],0)," ")</f>
        <v>1</v>
      </c>
      <c r="AO3" s="14">
        <v>2.0439814814814817E-2</v>
      </c>
      <c r="AP3" s="12">
        <f>IF(Table13[[#This Row],[Zeit EZF]]&gt;0,_xlfn.RANK.EQ(Table13[[#This Row],[Punkte EZF]],Table13[Punkte EZF],0)," ")</f>
        <v>1</v>
      </c>
      <c r="AQ3" s="10">
        <f>IF(Table13[[#This Row],[Zeit EZF]]&gt;0,MIN(Table13[Zeit EZF])/Table13[[#This Row],[Zeit EZF]]*1000,0)</f>
        <v>1000</v>
      </c>
      <c r="AR3" s="11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3" s="10">
        <f>(Table13[[#This Row],[Punkte EZF]]+Table13[[#This Row],[Bonus EZF]])</f>
        <v>1000</v>
      </c>
      <c r="AT3" s="21">
        <f>IF(Table13[[#This Row],[Zeit EZF]]&gt;0,_xlfn.RANK.EQ(Table13[[#This Row],[Gesamt EZF]],Table13[Gesamt EZF],0)," ")</f>
        <v>3</v>
      </c>
      <c r="AU3" s="26">
        <f>MAX( AM3,AS3)</f>
        <v>1000</v>
      </c>
    </row>
    <row r="4" spans="1:47" x14ac:dyDescent="0.25">
      <c r="A4" s="1" t="s">
        <v>59</v>
      </c>
      <c r="B4" s="1" t="s">
        <v>61</v>
      </c>
      <c r="C4" s="4">
        <v>1</v>
      </c>
      <c r="D4" s="4">
        <v>1967</v>
      </c>
      <c r="E4" s="4">
        <f>IF(Table13[[#This Row],[JG]],2024-Table13[[#This Row],[JG]],0)</f>
        <v>57</v>
      </c>
      <c r="F4" s="4"/>
      <c r="G4" s="49">
        <f t="shared" ref="G4:G56" si="0">SUM(U4, AH4, AU4)</f>
        <v>2850.6866357287481</v>
      </c>
      <c r="H4" s="35">
        <f>_xlfn.RANK.EQ(Table13[[#This Row],[Gesamtpunkte]],Table13[Gesamtpunkte],0)</f>
        <v>2</v>
      </c>
      <c r="I4" s="9">
        <v>3.4965277777777783E-2</v>
      </c>
      <c r="J4" s="13">
        <f>IF(Table13[[#This Row],[Zeit LSC]]&gt;0,_xlfn.RANK.EQ(Table13[[#This Row],[Punkte LSC]],Table13[Punkte LSC],0)," ")</f>
        <v>3</v>
      </c>
      <c r="K4" s="7">
        <f>IF(Table13[[#This Row],[Zeit LSC]]&gt;0,MIN(Table13[Zeit LSC])/Table13[[#This Row],[Zeit LSC]]*1000,0)</f>
        <v>865.27639854352856</v>
      </c>
      <c r="L4" s="8">
        <f>IF(Table13[[#This Row],[Zeit LSC]]&gt;0,SUM(IF(Table13[[#This Row],[Alter]]&gt;40,(Table13[[#This Row],[Alter]]-40)*4,0),IF(AND(Table13[[#This Row],[Alter]]&lt;20,Table13[[#This Row],[Alter]]&gt;0),(20-Table13[[#This Row],[Alter]])*10,0)),0)</f>
        <v>68</v>
      </c>
      <c r="M4" s="7">
        <f>(Table13[[#This Row],[Punkte LSC]]+Table13[[#This Row],[Bonus LSC]])</f>
        <v>933.27639854352856</v>
      </c>
      <c r="N4" s="15">
        <f>IF(Table13[[#This Row],[Zeit LSC]]&gt;0,_xlfn.RANK.EQ(Table13[[#This Row],[Gesamt LSC]],Table13[Gesamt LSC],0)," ")</f>
        <v>2</v>
      </c>
      <c r="O4" s="9">
        <v>1.3055555555555556E-2</v>
      </c>
      <c r="P4" s="4">
        <f>IF(Table13[[#This Row],[Zeit LKC]]&gt;0,_xlfn.RANK.EQ(Table13[[#This Row],[Punkte LKC]],Table13[Punkte LKC],0)," ")</f>
        <v>2</v>
      </c>
      <c r="Q4" s="16">
        <f>IF(Table13[[#This Row],[Zeit LKC]]&gt;0,MIN(Table13[Zeit LKC])/Table13[[#This Row],[Zeit LKC]]*1000,0)</f>
        <v>947.69503546099293</v>
      </c>
      <c r="R4" s="17">
        <f>IF(Table13[[#This Row],[Zeit LKC]]&gt;0,SUM(IF(Table13[[#This Row],[Alter]]&gt;40,(Table13[[#This Row],[Alter]]-40)*4,0),IF(AND(Table13[[#This Row],[Alter]]&lt;20,Table13[[#This Row],[Alter]]&gt;0),(20-Table13[[#This Row],[Alter]])*10,0)),0)</f>
        <v>68</v>
      </c>
      <c r="S4" s="16">
        <f>(Table13[[#This Row],[Punkte LKC]]+Table13[[#This Row],[Bonus LKC]])</f>
        <v>1015.6950354609929</v>
      </c>
      <c r="T4" s="18">
        <f>IF(Table13[[#This Row],[Zeit LKC]]&gt;0,_xlfn.RANK.EQ(Table13[[#This Row],[Gesamt LKC]],Table13[Gesamt LKC],0)," ")</f>
        <v>1</v>
      </c>
      <c r="U4" s="23">
        <f>MAX( S4,M4)</f>
        <v>1015.6950354609929</v>
      </c>
      <c r="V4" s="9"/>
      <c r="W4" s="12" t="str">
        <f>IF(Table13[[#This Row],[Zeit S&amp;R]]&gt;0,_xlfn.RANK.EQ(Table13[[#This Row],[Punkte S&amp;R]],Table13[Punkte S&amp;R],0)," ")</f>
        <v xml:space="preserve"> </v>
      </c>
      <c r="X4" s="7">
        <f>IF(Table13[[#This Row],[Zeit S&amp;R]]&gt;0,MIN(Table13[Zeit S&amp;R])/Table13[[#This Row],[Zeit S&amp;R]]*1000,0)</f>
        <v>0</v>
      </c>
      <c r="Y4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4" s="7">
        <f>(Table13[[#This Row],[Punkte S&amp;R]]+Table13[[#This Row],[Bonus S&amp;R]])</f>
        <v>0</v>
      </c>
      <c r="AA4" s="15" t="str">
        <f>IF(Table13[[#This Row],[Zeit S&amp;R]]&gt;0,_xlfn.RANK.EQ(Table13[[#This Row],[Gesamt S&amp;R]],Table13[Gesamt S&amp;R],0)," ")</f>
        <v xml:space="preserve"> </v>
      </c>
      <c r="AB4" s="14">
        <v>7.4791666666666659E-2</v>
      </c>
      <c r="AC4" s="15">
        <f>IF(Table13[[#This Row],[Zeit LC]]&gt;0,_xlfn.RANK.EQ(Table13[[#This Row],[Punkte LC]],Table13[Punkte LC],0)," ")</f>
        <v>6</v>
      </c>
      <c r="AD4" s="7">
        <f>IF(Table13[[#This Row],[Zeit LC]]&gt;0,MIN(Table13[Zeit LC])/Table13[[#This Row],[Zeit LC]]*1000,0)</f>
        <v>792.01485608170856</v>
      </c>
      <c r="AE4" s="7">
        <f>IF(Table13[[#This Row],[Zeit LC]]&gt;0,SUM(IF(Table13[[#This Row],[Alter]]&gt;40,(Table13[[#This Row],[Alter]]-40)*4,0),IF(AND(Table13[[#This Row],[Alter]]&lt;20,Table13[[#This Row],[Alter]]&gt;0),(20-Table13[[#This Row],[Alter]])*10,0)),0)</f>
        <v>68</v>
      </c>
      <c r="AF4" s="7">
        <f>(Table13[[#This Row],[Punkte LC]]+Table13[[#This Row],[Bonus LC]])</f>
        <v>860.01485608170856</v>
      </c>
      <c r="AG4" s="15">
        <f>IF(Table13[[#This Row],[Zeit LC]]&gt;0,_xlfn.RANK.EQ(Table13[[#This Row],[Gesamt LC]],Table13[Gesamt LC],0)," ")</f>
        <v>4</v>
      </c>
      <c r="AH4" s="23">
        <f>MAX( Z4,AF4)</f>
        <v>860.01485608170856</v>
      </c>
      <c r="AI4" s="9">
        <v>1.3935185185185184E-2</v>
      </c>
      <c r="AJ4" s="12">
        <f>IF(Table13[[#This Row],[Zeit BZF]]&gt;0,_xlfn.RANK.EQ(Table13[[#This Row],[Punkte BZF]],Table13[Punkte BZF],0)," ")</f>
        <v>5</v>
      </c>
      <c r="AK4" s="10">
        <f>IF(Table13[[#This Row],[Zeit BZF]]&gt;0,MIN(Table13[Zeit BZF])/Table13[[#This Row],[Zeit BZF]]*1000,0)</f>
        <v>906.97674418604652</v>
      </c>
      <c r="AL4" s="8">
        <f>IF(Table13[[#This Row],[Zeit BZF]]&gt;0,SUM(IF(Table13[[#This Row],[Alter]]&gt;40,(Table13[[#This Row],[Alter]]-40)*4,0),IF(AND(Table13[[#This Row],[Alter]]&lt;20,Table13[[#This Row],[Alter]]&gt;0),(20-Table13[[#This Row],[Alter]])*10,0)),0)</f>
        <v>68</v>
      </c>
      <c r="AM4" s="7">
        <f>(Table13[[#This Row],[Punkte BZF]]+Table13[[#This Row],[Bonus BZF]])</f>
        <v>974.97674418604652</v>
      </c>
      <c r="AN4" s="15">
        <f>IF(Table13[[#This Row],[Zeit BZF]]&gt;0,_xlfn.RANK.EQ(Table13[[#This Row],[Gesamt BZF]],Table13[Gesamt BZF],0)," ")</f>
        <v>2</v>
      </c>
      <c r="AO4" s="9"/>
      <c r="AP4" s="12" t="str">
        <f>IF(Table13[[#This Row],[Zeit EZF]]&gt;0,_xlfn.RANK.EQ(Table13[[#This Row],[Punkte EZF]],Table13[Punkte EZF],0)," ")</f>
        <v xml:space="preserve"> </v>
      </c>
      <c r="AQ4" s="10">
        <f>IF(Table13[[#This Row],[Zeit EZF]]&gt;0,MIN(Table13[Zeit EZF])/Table13[[#This Row],[Zeit EZF]]*1000,0)</f>
        <v>0</v>
      </c>
      <c r="AR4" s="8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4" s="7">
        <f>(Table13[[#This Row],[Punkte EZF]]+Table13[[#This Row],[Bonus EZF]])</f>
        <v>0</v>
      </c>
      <c r="AT4" s="15" t="str">
        <f>IF(Table13[[#This Row],[Zeit EZF]]&gt;0,_xlfn.RANK.EQ(Table13[[#This Row],[Gesamt EZF]],Table13[Gesamt EZF],0)," ")</f>
        <v xml:space="preserve"> </v>
      </c>
      <c r="AU4" s="26">
        <f t="shared" ref="AU4:AU55" si="1">MAX( AM4,AS4)</f>
        <v>974.97674418604652</v>
      </c>
    </row>
    <row r="5" spans="1:47" x14ac:dyDescent="0.25">
      <c r="A5" s="1" t="s">
        <v>125</v>
      </c>
      <c r="B5" s="1" t="s">
        <v>62</v>
      </c>
      <c r="C5" s="5"/>
      <c r="D5" s="5">
        <v>1992</v>
      </c>
      <c r="E5" s="6">
        <f>IF(Table13[[#This Row],[JG]],2024-Table13[[#This Row],[JG]],0)</f>
        <v>32</v>
      </c>
      <c r="F5" s="5"/>
      <c r="G5" s="49">
        <f t="shared" si="0"/>
        <v>2574.5811549109649</v>
      </c>
      <c r="H5" s="35">
        <f>_xlfn.RANK.EQ(Table13[[#This Row],[Gesamtpunkte]],Table13[Gesamtpunkte],0)</f>
        <v>3</v>
      </c>
      <c r="I5" s="9">
        <v>3.8240740740740742E-2</v>
      </c>
      <c r="J5" s="36">
        <f>IF(Table13[[#This Row],[Zeit LSC]]&gt;0,_xlfn.RANK.EQ(Table13[[#This Row],[Punkte LSC]],Table13[Punkte LSC],0)," ")</f>
        <v>5</v>
      </c>
      <c r="K5" s="7">
        <f>IF(Table13[[#This Row],[Zeit LSC]]&gt;0,MIN(Table13[Zeit LSC])/Table13[[#This Row],[Zeit LSC]]*1000,0)</f>
        <v>791.16222760290555</v>
      </c>
      <c r="L5" s="8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5" s="7">
        <f>(Table13[[#This Row],[Punkte LSC]]+Table13[[#This Row],[Bonus LSC]])</f>
        <v>791.16222760290555</v>
      </c>
      <c r="N5" s="15">
        <f>IF(Table13[[#This Row],[Zeit LSC]]&gt;0,_xlfn.RANK.EQ(Table13[[#This Row],[Gesamt LSC]],Table13[Gesamt LSC],0)," ")</f>
        <v>5</v>
      </c>
      <c r="O5" s="40">
        <v>1.5219907407407409E-2</v>
      </c>
      <c r="P5" s="37">
        <f>IF(Table13[[#This Row],[Zeit LKC]]&gt;0,_xlfn.RANK.EQ(Table13[[#This Row],[Punkte LKC]],Table13[Punkte LKC],0)," ")</f>
        <v>3</v>
      </c>
      <c r="Q5" s="16">
        <f>IF(Table13[[#This Row],[Zeit LKC]]&gt;0,MIN(Table13[Zeit LKC])/Table13[[#This Row],[Zeit LKC]]*1000,0)</f>
        <v>812.92775665399233</v>
      </c>
      <c r="R5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5" s="16">
        <f>(Table13[[#This Row],[Punkte LKC]]+Table13[[#This Row],[Bonus LKC]])</f>
        <v>812.92775665399233</v>
      </c>
      <c r="T5" s="18">
        <f>IF(Table13[[#This Row],[Zeit LKC]]&gt;0,_xlfn.RANK.EQ(Table13[[#This Row],[Gesamt LKC]],Table13[Gesamt LKC],0)," ")</f>
        <v>3</v>
      </c>
      <c r="U5" s="23">
        <f>MAX( S5,M5)</f>
        <v>812.92775665399233</v>
      </c>
      <c r="V5" s="14"/>
      <c r="W5" s="12" t="str">
        <f>IF(Table13[[#This Row],[Zeit S&amp;R]]&gt;0,_xlfn.RANK.EQ(Table13[[#This Row],[Punkte S&amp;R]],Table13[Punkte S&amp;R],0)," ")</f>
        <v xml:space="preserve"> </v>
      </c>
      <c r="X5" s="10">
        <f>IF(Table13[[#This Row],[Zeit S&amp;R]]&gt;0,MIN(Table13[Zeit S&amp;R])/Table13[[#This Row],[Zeit S&amp;R]]*1000,0)</f>
        <v>0</v>
      </c>
      <c r="Y5" s="11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5" s="10">
        <f>(Table13[[#This Row],[Punkte S&amp;R]]+Table13[[#This Row],[Bonus S&amp;R]])</f>
        <v>0</v>
      </c>
      <c r="AA5" s="21" t="str">
        <f>IF(Table13[[#This Row],[Zeit S&amp;R]]&gt;0,_xlfn.RANK.EQ(Table13[[#This Row],[Gesamt S&amp;R]],Table13[Gesamt S&amp;R],0)," ")</f>
        <v xml:space="preserve"> </v>
      </c>
      <c r="AB5" s="14">
        <v>7.2430555555555554E-2</v>
      </c>
      <c r="AC5" s="21">
        <f>IF(Table13[[#This Row],[Zeit LC]]&gt;0,_xlfn.RANK.EQ(Table13[[#This Row],[Punkte LC]],Table13[Punkte LC],0)," ")</f>
        <v>2</v>
      </c>
      <c r="AD5" s="10">
        <f>IF(Table13[[#This Row],[Zeit LC]]&gt;0,MIN(Table13[Zeit LC])/Table13[[#This Row],[Zeit LC]]*1000,0)</f>
        <v>817.83317353787152</v>
      </c>
      <c r="AE5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5" s="10">
        <f>(Table13[[#This Row],[Punkte LC]]+Table13[[#This Row],[Bonus LC]])</f>
        <v>817.83317353787152</v>
      </c>
      <c r="AG5" s="21">
        <f>IF(Table13[[#This Row],[Zeit LC]]&gt;0,_xlfn.RANK.EQ(Table13[[#This Row],[Gesamt LC]],Table13[Gesamt LC],0)," ")</f>
        <v>6</v>
      </c>
      <c r="AH5" s="23">
        <f>MAX( Z5,AF5)</f>
        <v>817.83317353787152</v>
      </c>
      <c r="AI5" s="14">
        <v>1.3391203703703704E-2</v>
      </c>
      <c r="AJ5" s="12">
        <f>IF(Table13[[#This Row],[Zeit BZF]]&gt;0,_xlfn.RANK.EQ(Table13[[#This Row],[Punkte BZF]],Table13[Punkte BZF],0)," ")</f>
        <v>3</v>
      </c>
      <c r="AK5" s="10">
        <f>IF(Table13[[#This Row],[Zeit BZF]]&gt;0,MIN(Table13[Zeit BZF])/Table13[[#This Row],[Zeit BZF]]*1000,0)</f>
        <v>943.82022471910113</v>
      </c>
      <c r="AL5" s="11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5" s="10">
        <f>(Table13[[#This Row],[Punkte BZF]]+Table13[[#This Row],[Bonus BZF]])</f>
        <v>943.82022471910113</v>
      </c>
      <c r="AN5" s="21">
        <f>IF(Table13[[#This Row],[Zeit BZF]]&gt;0,_xlfn.RANK.EQ(Table13[[#This Row],[Gesamt BZF]],Table13[Gesamt BZF],0)," ")</f>
        <v>5</v>
      </c>
      <c r="AO5" s="14">
        <v>2.2812499999999999E-2</v>
      </c>
      <c r="AP5" s="12">
        <f>IF(Table13[[#This Row],[Zeit EZF]]&gt;0,_xlfn.RANK.EQ(Table13[[#This Row],[Punkte EZF]],Table13[Punkte EZF],0)," ")</f>
        <v>13</v>
      </c>
      <c r="AQ5" s="10">
        <f>IF(Table13[[#This Row],[Zeit EZF]]&gt;0,MIN(Table13[Zeit EZF])/Table13[[#This Row],[Zeit EZF]]*1000,0)</f>
        <v>895.99188229325227</v>
      </c>
      <c r="AR5" s="11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5" s="10">
        <f>(Table13[[#This Row],[Punkte EZF]]+Table13[[#This Row],[Bonus EZF]])</f>
        <v>895.99188229325227</v>
      </c>
      <c r="AT5" s="21">
        <f>IF(Table13[[#This Row],[Zeit EZF]]&gt;0,_xlfn.RANK.EQ(Table13[[#This Row],[Gesamt EZF]],Table13[Gesamt EZF],0)," ")</f>
        <v>14</v>
      </c>
      <c r="AU5" s="26">
        <f t="shared" si="1"/>
        <v>943.82022471910113</v>
      </c>
    </row>
    <row r="6" spans="1:47" x14ac:dyDescent="0.25">
      <c r="A6" s="1" t="s">
        <v>74</v>
      </c>
      <c r="B6" s="1" t="s">
        <v>75</v>
      </c>
      <c r="C6" s="4">
        <v>1</v>
      </c>
      <c r="D6" s="4">
        <v>1961</v>
      </c>
      <c r="E6" s="4">
        <f>IF(Table13[[#This Row],[JG]],2024-Table13[[#This Row],[JG]],0)</f>
        <v>63</v>
      </c>
      <c r="F6" s="4"/>
      <c r="G6" s="49">
        <f t="shared" si="0"/>
        <v>2384.241672479819</v>
      </c>
      <c r="H6" s="35">
        <f>_xlfn.RANK.EQ(Table13[[#This Row],[Gesamtpunkte]],Table13[Gesamtpunkte],0)</f>
        <v>4</v>
      </c>
      <c r="I6" s="9">
        <v>5.0914351851851856E-2</v>
      </c>
      <c r="J6" s="13">
        <f>IF(Table13[[#This Row],[Zeit LSC]]&gt;0,_xlfn.RANK.EQ(Table13[[#This Row],[Punkte LSC]],Table13[Punkte LSC],0)," ")</f>
        <v>12</v>
      </c>
      <c r="K6" s="7">
        <f>IF(Table13[[#This Row],[Zeit LSC]]&gt;0,MIN(Table13[Zeit LSC])/Table13[[#This Row],[Zeit LSC]]*1000,0)</f>
        <v>594.22596044555576</v>
      </c>
      <c r="L6" s="8">
        <f>IF(Table13[[#This Row],[Zeit LSC]]&gt;0,SUM(IF(Table13[[#This Row],[Alter]]&gt;40,(Table13[[#This Row],[Alter]]-40)*4,0),IF(AND(Table13[[#This Row],[Alter]]&lt;20,Table13[[#This Row],[Alter]]&gt;0),(20-Table13[[#This Row],[Alter]])*10,0)),0)</f>
        <v>92</v>
      </c>
      <c r="M6" s="7">
        <f>(Table13[[#This Row],[Punkte LSC]]+Table13[[#This Row],[Bonus LSC]])</f>
        <v>686.22596044555576</v>
      </c>
      <c r="N6" s="15">
        <f>IF(Table13[[#This Row],[Zeit LSC]]&gt;0,_xlfn.RANK.EQ(Table13[[#This Row],[Gesamt LSC]],Table13[Gesamt LSC],0)," ")</f>
        <v>11</v>
      </c>
      <c r="O6" s="9"/>
      <c r="P6" s="4" t="str">
        <f>IF(Table13[[#This Row],[Zeit LKC]]&gt;0,_xlfn.RANK.EQ(Table13[[#This Row],[Punkte LKC]],Table13[Punkte LKC],0)," ")</f>
        <v xml:space="preserve"> </v>
      </c>
      <c r="Q6" s="16">
        <f>IF(Table13[[#This Row],[Zeit LKC]]&gt;0,MIN(Table13[Zeit LKC])/Table13[[#This Row],[Zeit LKC]]*1000,0)</f>
        <v>0</v>
      </c>
      <c r="R6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6" s="16">
        <f>(Table13[[#This Row],[Punkte LKC]]+Table13[[#This Row],[Bonus LKC]])</f>
        <v>0</v>
      </c>
      <c r="T6" s="18" t="str">
        <f>IF(Table13[[#This Row],[Zeit LKC]]&gt;0,_xlfn.RANK.EQ(Table13[[#This Row],[Gesamt LKC]],Table13[Gesamt LKC],0)," ")</f>
        <v xml:space="preserve"> </v>
      </c>
      <c r="U6" s="23">
        <f>MAX( S6,M6)</f>
        <v>686.22596044555576</v>
      </c>
      <c r="V6" s="9">
        <v>4.3587962962962967E-2</v>
      </c>
      <c r="W6" s="12">
        <f>IF(Table13[[#This Row],[Zeit S&amp;R]]&gt;0,_xlfn.RANK.EQ(Table13[[#This Row],[Punkte S&amp;R]],Table13[Punkte S&amp;R],0)," ")</f>
        <v>19</v>
      </c>
      <c r="X6" s="7">
        <f>IF(Table13[[#This Row],[Zeit S&amp;R]]&gt;0,MIN(Table13[Zeit S&amp;R])/Table13[[#This Row],[Zeit S&amp;R]]*1000,0)</f>
        <v>697.55708975039818</v>
      </c>
      <c r="Y6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92</v>
      </c>
      <c r="Z6" s="7">
        <f>(Table13[[#This Row],[Punkte S&amp;R]]+Table13[[#This Row],[Bonus S&amp;R]])</f>
        <v>789.55708975039818</v>
      </c>
      <c r="AA6" s="15">
        <f>IF(Table13[[#This Row],[Zeit S&amp;R]]&gt;0,_xlfn.RANK.EQ(Table13[[#This Row],[Gesamt S&amp;R]],Table13[Gesamt S&amp;R],0)," ")</f>
        <v>16</v>
      </c>
      <c r="AB6" s="9"/>
      <c r="AC6" s="15" t="str">
        <f>IF(Table13[[#This Row],[Zeit LC]]&gt;0,_xlfn.RANK.EQ(Table13[[#This Row],[Punkte LC]],Table13[Punkte LC],0)," ")</f>
        <v xml:space="preserve"> </v>
      </c>
      <c r="AD6" s="7">
        <f>IF(Table13[[#This Row],[Zeit LC]]&gt;0,MIN(Table13[Zeit LC])/Table13[[#This Row],[Zeit LC]]*1000,0)</f>
        <v>0</v>
      </c>
      <c r="AE6" s="7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6" s="7">
        <f>(Table13[[#This Row],[Punkte LC]]+Table13[[#This Row],[Bonus LC]])</f>
        <v>0</v>
      </c>
      <c r="AG6" s="15" t="str">
        <f>IF(Table13[[#This Row],[Zeit LC]]&gt;0,_xlfn.RANK.EQ(Table13[[#This Row],[Gesamt LC]],Table13[Gesamt LC],0)," ")</f>
        <v xml:space="preserve"> </v>
      </c>
      <c r="AH6" s="23">
        <f>MAX( Z6,AF6)</f>
        <v>789.55708975039818</v>
      </c>
      <c r="AI6" s="9"/>
      <c r="AJ6" s="12" t="str">
        <f>IF(Table13[[#This Row],[Zeit BZF]]&gt;0,_xlfn.RANK.EQ(Table13[[#This Row],[Punkte BZF]],Table13[Punkte BZF],0)," ")</f>
        <v xml:space="preserve"> </v>
      </c>
      <c r="AK6" s="10">
        <f>IF(Table13[[#This Row],[Zeit BZF]]&gt;0,MIN(Table13[Zeit BZF])/Table13[[#This Row],[Zeit BZF]]*1000,0)</f>
        <v>0</v>
      </c>
      <c r="AL6" s="8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6" s="7">
        <f>(Table13[[#This Row],[Punkte BZF]]+Table13[[#This Row],[Bonus BZF]])</f>
        <v>0</v>
      </c>
      <c r="AN6" s="15" t="str">
        <f>IF(Table13[[#This Row],[Zeit BZF]]&gt;0,_xlfn.RANK.EQ(Table13[[#This Row],[Gesamt BZF]],Table13[Gesamt BZF],0)," ")</f>
        <v xml:space="preserve"> </v>
      </c>
      <c r="AO6" s="9">
        <v>2.5034722222222222E-2</v>
      </c>
      <c r="AP6" s="12">
        <f>IF(Table13[[#This Row],[Zeit EZF]]&gt;0,_xlfn.RANK.EQ(Table13[[#This Row],[Punkte EZF]],Table13[Punkte EZF],0)," ")</f>
        <v>18</v>
      </c>
      <c r="AQ6" s="10">
        <f>IF(Table13[[#This Row],[Zeit EZF]]&gt;0,MIN(Table13[Zeit EZF])/Table13[[#This Row],[Zeit EZF]]*1000,0)</f>
        <v>816.45862228386511</v>
      </c>
      <c r="AR6" s="8">
        <f>IF(Table13[[#This Row],[Zeit EZF]]&gt;0,SUM(IF(Table13[[#This Row],[Alter]]&gt;40,(Table13[[#This Row],[Alter]]-40)*4,0),IF(AND(Table13[[#This Row],[Alter]]&lt;20,Table13[[#This Row],[Alter]]&gt;0),(20-Table13[[#This Row],[Alter]])*10,0)),0)</f>
        <v>92</v>
      </c>
      <c r="AS6" s="7">
        <f>(Table13[[#This Row],[Punkte EZF]]+Table13[[#This Row],[Bonus EZF]])</f>
        <v>908.45862228386511</v>
      </c>
      <c r="AT6" s="15">
        <f>IF(Table13[[#This Row],[Zeit EZF]]&gt;0,_xlfn.RANK.EQ(Table13[[#This Row],[Gesamt EZF]],Table13[Gesamt EZF],0)," ")</f>
        <v>10</v>
      </c>
      <c r="AU6" s="26">
        <f t="shared" si="1"/>
        <v>908.45862228386511</v>
      </c>
    </row>
    <row r="7" spans="1:47" x14ac:dyDescent="0.25">
      <c r="A7" s="27" t="s">
        <v>64</v>
      </c>
      <c r="B7" s="27" t="s">
        <v>65</v>
      </c>
      <c r="C7" s="5"/>
      <c r="D7" s="5">
        <v>1984</v>
      </c>
      <c r="E7" s="6">
        <f>IF(Table13[[#This Row],[JG]],2024-Table13[[#This Row],[JG]],0)</f>
        <v>40</v>
      </c>
      <c r="F7" s="5" t="s">
        <v>34</v>
      </c>
      <c r="G7" s="49">
        <f t="shared" si="0"/>
        <v>2382.4755016134623</v>
      </c>
      <c r="H7" s="35">
        <f>_xlfn.RANK.EQ(Table13[[#This Row],[Gesamtpunkte]],Table13[Gesamtpunkte],0)</f>
        <v>5</v>
      </c>
      <c r="I7" s="14">
        <v>3.9872685185185185E-2</v>
      </c>
      <c r="J7" s="13">
        <f>IF(Table13[[#This Row],[Zeit LSC]]&gt;0,_xlfn.RANK.EQ(Table13[[#This Row],[Punkte LSC]],Table13[Punkte LSC],0)," ")</f>
        <v>6</v>
      </c>
      <c r="K7" s="10">
        <f>IF(Table13[[#This Row],[Zeit LSC]]&gt;0,MIN(Table13[Zeit LSC])/Table13[[#This Row],[Zeit LSC]]*1000,0)</f>
        <v>758.78084179970972</v>
      </c>
      <c r="L7" s="1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7" s="10">
        <f>(Table13[[#This Row],[Punkte LSC]]+Table13[[#This Row],[Bonus LSC]])</f>
        <v>758.78084179970972</v>
      </c>
      <c r="N7" s="15">
        <f>IF(Table13[[#This Row],[Zeit LSC]]&gt;0,_xlfn.RANK.EQ(Table13[[#This Row],[Gesamt LSC]],Table13[Gesamt LSC],0)," ")</f>
        <v>7</v>
      </c>
      <c r="O7" s="9">
        <v>1.8692129629629631E-2</v>
      </c>
      <c r="P7" s="5">
        <f>IF(Table13[[#This Row],[Zeit LKC]]&gt;0,_xlfn.RANK.EQ(Table13[[#This Row],[Punkte LKC]],Table13[Punkte LKC],0)," ")</f>
        <v>4</v>
      </c>
      <c r="Q7" s="16">
        <f>IF(Table13[[#This Row],[Zeit LKC]]&gt;0,MIN(Table13[Zeit LKC])/Table13[[#This Row],[Zeit LKC]]*1000,0)</f>
        <v>661.91950464396291</v>
      </c>
      <c r="R7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7" s="16">
        <f>(Table13[[#This Row],[Punkte LKC]]+Table13[[#This Row],[Bonus LKC]])</f>
        <v>661.91950464396291</v>
      </c>
      <c r="T7" s="18">
        <f>IF(Table13[[#This Row],[Zeit LKC]]&gt;0,_xlfn.RANK.EQ(Table13[[#This Row],[Gesamt LKC]],Table13[Gesamt LKC],0)," ")</f>
        <v>5</v>
      </c>
      <c r="U7" s="23">
        <f>MAX( S7,M7)</f>
        <v>758.78084179970972</v>
      </c>
      <c r="V7" s="14">
        <v>3.72337962962963E-2</v>
      </c>
      <c r="W7" s="12">
        <f>IF(Table13[[#This Row],[Zeit S&amp;R]]&gt;0,_xlfn.RANK.EQ(Table13[[#This Row],[Punkte S&amp;R]],Table13[Punkte S&amp;R],0)," ")</f>
        <v>11</v>
      </c>
      <c r="X7" s="10">
        <f>IF(Table13[[#This Row],[Zeit S&amp;R]]&gt;0,MIN(Table13[Zeit S&amp;R])/Table13[[#This Row],[Zeit S&amp;R]]*1000,0)</f>
        <v>816.5993161330432</v>
      </c>
      <c r="Y7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7" s="10">
        <f>(Table13[[#This Row],[Punkte S&amp;R]]+Table13[[#This Row],[Bonus S&amp;R]])</f>
        <v>816.5993161330432</v>
      </c>
      <c r="AA7" s="15">
        <f>IF(Table13[[#This Row],[Zeit S&amp;R]]&gt;0,_xlfn.RANK.EQ(Table13[[#This Row],[Gesamt S&amp;R]],Table13[Gesamt S&amp;R],0)," ")</f>
        <v>12</v>
      </c>
      <c r="AB7" s="14"/>
      <c r="AC7" s="15" t="str">
        <f>IF(Table13[[#This Row],[Zeit LC]]&gt;0,_xlfn.RANK.EQ(Table13[[#This Row],[Punkte LC]],Table13[Punkte LC],0)," ")</f>
        <v xml:space="preserve"> </v>
      </c>
      <c r="AD7" s="10">
        <f>IF(Table13[[#This Row],[Zeit LC]]&gt;0,MIN(Table13[Zeit LC])/Table13[[#This Row],[Zeit LC]]*1000,0)</f>
        <v>0</v>
      </c>
      <c r="AE7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7" s="10">
        <f>(Table13[[#This Row],[Punkte LC]]+Table13[[#This Row],[Bonus LC]])</f>
        <v>0</v>
      </c>
      <c r="AG7" s="15" t="str">
        <f>IF(Table13[[#This Row],[Zeit LC]]&gt;0,_xlfn.RANK.EQ(Table13[[#This Row],[Gesamt LC]],Table13[Gesamt LC],0)," ")</f>
        <v xml:space="preserve"> </v>
      </c>
      <c r="AH7" s="23">
        <f>MAX( Z7,AF7)</f>
        <v>816.5993161330432</v>
      </c>
      <c r="AI7" s="14">
        <v>1.5659722222222224E-2</v>
      </c>
      <c r="AJ7" s="12">
        <f>IF(Table13[[#This Row],[Zeit BZF]]&gt;0,_xlfn.RANK.EQ(Table13[[#This Row],[Punkte BZF]],Table13[Punkte BZF],0)," ")</f>
        <v>12</v>
      </c>
      <c r="AK7" s="10">
        <f>IF(Table13[[#This Row],[Zeit BZF]]&gt;0,MIN(Table13[Zeit BZF])/Table13[[#This Row],[Zeit BZF]]*1000,0)</f>
        <v>807.09534368070945</v>
      </c>
      <c r="AL7" s="8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7" s="10">
        <f>(Table13[[#This Row],[Punkte BZF]]+Table13[[#This Row],[Bonus BZF]])</f>
        <v>807.09534368070945</v>
      </c>
      <c r="AN7" s="15">
        <f>IF(Table13[[#This Row],[Zeit BZF]]&gt;0,_xlfn.RANK.EQ(Table13[[#This Row],[Gesamt BZF]],Table13[Gesamt BZF],0)," ")</f>
        <v>14</v>
      </c>
      <c r="AO7" s="14"/>
      <c r="AP7" s="12" t="str">
        <f>IF(Table13[[#This Row],[Zeit EZF]]&gt;0,_xlfn.RANK.EQ(Table13[[#This Row],[Punkte EZF]],Table13[Punkte EZF],0)," ")</f>
        <v xml:space="preserve"> </v>
      </c>
      <c r="AQ7" s="10">
        <f>IF(Table13[[#This Row],[Zeit EZF]]&gt;0,MIN(Table13[Zeit EZF])/Table13[[#This Row],[Zeit EZF]]*1000,0)</f>
        <v>0</v>
      </c>
      <c r="AR7" s="8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7" s="10">
        <f>(Table13[[#This Row],[Punkte EZF]]+Table13[[#This Row],[Bonus EZF]])</f>
        <v>0</v>
      </c>
      <c r="AT7" s="15" t="str">
        <f>IF(Table13[[#This Row],[Zeit EZF]]&gt;0,_xlfn.RANK.EQ(Table13[[#This Row],[Gesamt EZF]],Table13[Gesamt EZF],0)," ")</f>
        <v xml:space="preserve"> </v>
      </c>
      <c r="AU7" s="26">
        <f t="shared" si="1"/>
        <v>807.09534368070945</v>
      </c>
    </row>
    <row r="8" spans="1:47" x14ac:dyDescent="0.25">
      <c r="A8" s="1" t="s">
        <v>105</v>
      </c>
      <c r="B8" s="1" t="s">
        <v>106</v>
      </c>
      <c r="C8" s="5"/>
      <c r="D8" s="5">
        <v>2007</v>
      </c>
      <c r="E8" s="6">
        <f>IF(Table13[[#This Row],[JG]],2024-Table13[[#This Row],[JG]],0)</f>
        <v>17</v>
      </c>
      <c r="F8" s="4" t="s">
        <v>34</v>
      </c>
      <c r="G8" s="49">
        <f t="shared" si="0"/>
        <v>2316.413136238325</v>
      </c>
      <c r="H8" s="35">
        <f>_xlfn.RANK.EQ(Table13[[#This Row],[Gesamtpunkte]],Table13[Gesamtpunkte],0)</f>
        <v>6</v>
      </c>
      <c r="I8" s="14">
        <v>4.6296296296296301E-2</v>
      </c>
      <c r="J8" s="13">
        <f>IF(Table13[[#This Row],[Zeit LSC]]&gt;0,_xlfn.RANK.EQ(Table13[[#This Row],[Punkte LSC]],Table13[Punkte LSC],0)," ")</f>
        <v>11</v>
      </c>
      <c r="K8" s="10">
        <f>IF(Table13[[#This Row],[Zeit LSC]]&gt;0,MIN(Table13[Zeit LSC])/Table13[[#This Row],[Zeit LSC]]*1000,0)</f>
        <v>653.5</v>
      </c>
      <c r="L8" s="11">
        <f>IF(Table13[[#This Row],[Zeit LSC]]&gt;0,SUM(IF(Table13[[#This Row],[Alter]]&gt;40,(Table13[[#This Row],[Alter]]-40)*4,0),IF(AND(Table13[[#This Row],[Alter]]&lt;20,Table13[[#This Row],[Alter]]&gt;0),(20-Table13[[#This Row],[Alter]])*10,0)),0)</f>
        <v>30</v>
      </c>
      <c r="M8" s="10">
        <f>(Table13[[#This Row],[Punkte LSC]]+Table13[[#This Row],[Bonus LSC]])</f>
        <v>683.5</v>
      </c>
      <c r="N8" s="15">
        <f>IF(Table13[[#This Row],[Zeit LSC]]&gt;0,_xlfn.RANK.EQ(Table13[[#This Row],[Gesamt LSC]],Table13[Gesamt LSC],0)," ")</f>
        <v>12</v>
      </c>
      <c r="O8" s="9"/>
      <c r="P8" s="5" t="str">
        <f>IF(Table13[[#This Row],[Zeit LKC]]&gt;0,_xlfn.RANK.EQ(Table13[[#This Row],[Punkte LKC]],Table13[Punkte LKC],0)," ")</f>
        <v xml:space="preserve"> </v>
      </c>
      <c r="Q8" s="16">
        <f>IF(Table13[[#This Row],[Zeit LKC]]&gt;0,MIN(Table13[Zeit LKC])/Table13[[#This Row],[Zeit LKC]]*1000,0)</f>
        <v>0</v>
      </c>
      <c r="R8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8" s="16">
        <f>(Table13[[#This Row],[Punkte LKC]]+Table13[[#This Row],[Bonus LKC]])</f>
        <v>0</v>
      </c>
      <c r="T8" s="18" t="str">
        <f>IF(Table13[[#This Row],[Zeit LKC]]&gt;0,_xlfn.RANK.EQ(Table13[[#This Row],[Gesamt LKC]],Table13[Gesamt LKC],0)," ")</f>
        <v xml:space="preserve"> </v>
      </c>
      <c r="U8" s="23">
        <f>MAX( S8,M8)</f>
        <v>683.5</v>
      </c>
      <c r="V8" s="14">
        <v>4.7766203703703707E-2</v>
      </c>
      <c r="W8" s="12">
        <f>IF(Table13[[#This Row],[Zeit S&amp;R]]&gt;0,_xlfn.RANK.EQ(Table13[[#This Row],[Punkte S&amp;R]],Table13[Punkte S&amp;R],0)," ")</f>
        <v>21</v>
      </c>
      <c r="X8" s="10">
        <f>IF(Table13[[#This Row],[Zeit S&amp;R]]&gt;0,MIN(Table13[Zeit S&amp;R])/Table13[[#This Row],[Zeit S&amp;R]]*1000,0)</f>
        <v>636.53985946207888</v>
      </c>
      <c r="Y8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30</v>
      </c>
      <c r="Z8" s="10">
        <f>(Table13[[#This Row],[Punkte S&amp;R]]+Table13[[#This Row],[Bonus S&amp;R]])</f>
        <v>666.53985946207888</v>
      </c>
      <c r="AA8" s="15">
        <f>IF(Table13[[#This Row],[Zeit S&amp;R]]&gt;0,_xlfn.RANK.EQ(Table13[[#This Row],[Gesamt S&amp;R]],Table13[Gesamt S&amp;R],0)," ")</f>
        <v>21</v>
      </c>
      <c r="AB8" s="14"/>
      <c r="AC8" s="15" t="str">
        <f>IF(Table13[[#This Row],[Zeit LC]]&gt;0,_xlfn.RANK.EQ(Table13[[#This Row],[Punkte LC]],Table13[Punkte LC],0)," ")</f>
        <v xml:space="preserve"> </v>
      </c>
      <c r="AD8" s="10">
        <f>IF(Table13[[#This Row],[Zeit LC]]&gt;0,MIN(Table13[Zeit LC])/Table13[[#This Row],[Zeit LC]]*1000,0)</f>
        <v>0</v>
      </c>
      <c r="AE8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8" s="10">
        <f>(Table13[[#This Row],[Punkte LC]]+Table13[[#This Row],[Bonus LC]])</f>
        <v>0</v>
      </c>
      <c r="AG8" s="15" t="str">
        <f>IF(Table13[[#This Row],[Zeit LC]]&gt;0,_xlfn.RANK.EQ(Table13[[#This Row],[Gesamt LC]],Table13[Gesamt LC],0)," ")</f>
        <v xml:space="preserve"> </v>
      </c>
      <c r="AH8" s="23">
        <f>MAX( Z8,AF8)</f>
        <v>666.53985946207888</v>
      </c>
      <c r="AI8" s="9">
        <v>1.3692129629629629E-2</v>
      </c>
      <c r="AJ8" s="12">
        <f>IF(Table13[[#This Row],[Zeit BZF]]&gt;0,_xlfn.RANK.EQ(Table13[[#This Row],[Punkte BZF]],Table13[Punkte BZF],0)," ")</f>
        <v>4</v>
      </c>
      <c r="AK8" s="10">
        <f>IF(Table13[[#This Row],[Zeit BZF]]&gt;0,MIN(Table13[Zeit BZF])/Table13[[#This Row],[Zeit BZF]]*1000,0)</f>
        <v>923.07692307692309</v>
      </c>
      <c r="AL8" s="8">
        <f>IF(Table13[[#This Row],[Zeit BZF]]&gt;0,SUM(IF(Table13[[#This Row],[Alter]]&gt;40,(Table13[[#This Row],[Alter]]-40)*4,0),IF(AND(Table13[[#This Row],[Alter]]&lt;20,Table13[[#This Row],[Alter]]&gt;0),(20-Table13[[#This Row],[Alter]])*10,0)),0)</f>
        <v>30</v>
      </c>
      <c r="AM8" s="10">
        <f>(Table13[[#This Row],[Punkte BZF]]+Table13[[#This Row],[Bonus BZF]])</f>
        <v>953.07692307692309</v>
      </c>
      <c r="AN8" s="15">
        <f>IF(Table13[[#This Row],[Zeit BZF]]&gt;0,_xlfn.RANK.EQ(Table13[[#This Row],[Gesamt BZF]],Table13[Gesamt BZF],0)," ")</f>
        <v>3</v>
      </c>
      <c r="AO8" s="14">
        <v>2.1828703703703701E-2</v>
      </c>
      <c r="AP8" s="12">
        <f>IF(Table13[[#This Row],[Zeit EZF]]&gt;0,_xlfn.RANK.EQ(Table13[[#This Row],[Punkte EZF]],Table13[Punkte EZF],0)," ")</f>
        <v>4</v>
      </c>
      <c r="AQ8" s="10">
        <f>IF(Table13[[#This Row],[Zeit EZF]]&gt;0,MIN(Table13[Zeit EZF])/Table13[[#This Row],[Zeit EZF]]*1000,0)</f>
        <v>936.37327677624626</v>
      </c>
      <c r="AR8" s="8">
        <f>IF(Table13[[#This Row],[Zeit EZF]]&gt;0,SUM(IF(Table13[[#This Row],[Alter]]&gt;40,(Table13[[#This Row],[Alter]]-40)*4,0),IF(AND(Table13[[#This Row],[Alter]]&lt;20,Table13[[#This Row],[Alter]]&gt;0),(20-Table13[[#This Row],[Alter]])*10,0)),0)</f>
        <v>30</v>
      </c>
      <c r="AS8" s="10">
        <f>(Table13[[#This Row],[Punkte EZF]]+Table13[[#This Row],[Bonus EZF]])</f>
        <v>966.37327677624626</v>
      </c>
      <c r="AT8" s="15">
        <f>IF(Table13[[#This Row],[Zeit EZF]]&gt;0,_xlfn.RANK.EQ(Table13[[#This Row],[Gesamt EZF]],Table13[Gesamt EZF],0)," ")</f>
        <v>4</v>
      </c>
      <c r="AU8" s="26">
        <f t="shared" si="1"/>
        <v>966.37327677624626</v>
      </c>
    </row>
    <row r="9" spans="1:47" x14ac:dyDescent="0.25">
      <c r="A9" s="1" t="s">
        <v>119</v>
      </c>
      <c r="B9" s="1" t="s">
        <v>120</v>
      </c>
      <c r="C9" s="5"/>
      <c r="D9" s="5">
        <v>1963</v>
      </c>
      <c r="E9" s="6">
        <f>IF(Table13[[#This Row],[JG]],2024-Table13[[#This Row],[JG]],0)</f>
        <v>61</v>
      </c>
      <c r="F9" s="4" t="s">
        <v>34</v>
      </c>
      <c r="G9" s="49">
        <f t="shared" si="0"/>
        <v>1904.8885591336987</v>
      </c>
      <c r="H9" s="35">
        <f>_xlfn.RANK.EQ(Table13[[#This Row],[Gesamtpunkte]],Table13[Gesamtpunkte],0)</f>
        <v>7</v>
      </c>
      <c r="I9" s="28"/>
      <c r="J9" s="29" t="str">
        <f>IF(Table13[[#This Row],[Zeit LSC]]&gt;0,_xlfn.RANK.EQ(Table13[[#This Row],[Punkte LSC]],Table13[Punkte LSC],0)," ")</f>
        <v xml:space="preserve"> </v>
      </c>
      <c r="K9" s="30">
        <f>IF(Table13[[#This Row],[Zeit LSC]]&gt;0,MIN(Table13[Zeit LSC])/Table13[[#This Row],[Zeit LSC]]*1000,0)</f>
        <v>0</v>
      </c>
      <c r="L9" s="3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9" s="30">
        <f>(Table13[[#This Row],[Punkte LSC]]+Table13[[#This Row],[Bonus LSC]])</f>
        <v>0</v>
      </c>
      <c r="N9" s="32" t="str">
        <f>IF(Table13[[#This Row],[Zeit LSC]]&gt;0,_xlfn.RANK.EQ(Table13[[#This Row],[Gesamt LSC]],Table13[Gesamt LSC],0)," ")</f>
        <v xml:space="preserve"> </v>
      </c>
      <c r="O9" s="34"/>
      <c r="P9" s="6" t="str">
        <f>IF(Table13[[#This Row],[Zeit LKC]]&gt;0,_xlfn.RANK.EQ(Table13[[#This Row],[Punkte LKC]],Table13[Punkte LKC],0)," ")</f>
        <v xml:space="preserve"> </v>
      </c>
      <c r="Q9" s="16">
        <f>IF(Table13[[#This Row],[Zeit LKC]]&gt;0,MIN(Table13[Zeit LKC])/Table13[[#This Row],[Zeit LKC]]*1000,0)</f>
        <v>0</v>
      </c>
      <c r="R9" s="33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9" s="19">
        <f>(Table13[[#This Row],[Punkte LKC]]+Table13[[#This Row],[Bonus LKC]])</f>
        <v>0</v>
      </c>
      <c r="T9" s="19" t="str">
        <f>IF(Table13[[#This Row],[Zeit LKC]]&gt;0,_xlfn.RANK.EQ(Table13[[#This Row],[Gesamt LKC]],Table13[Gesamt LKC],0)," ")</f>
        <v xml:space="preserve"> </v>
      </c>
      <c r="U9" s="23">
        <f>MAX( S9,M9)</f>
        <v>0</v>
      </c>
      <c r="V9" s="14"/>
      <c r="W9" s="12" t="str">
        <f>IF(Table13[[#This Row],[Zeit S&amp;R]]&gt;0,_xlfn.RANK.EQ(Table13[[#This Row],[Punkte S&amp;R]],Table13[Punkte S&amp;R],0)," ")</f>
        <v xml:space="preserve"> </v>
      </c>
      <c r="X9" s="10">
        <f>IF(Table13[[#This Row],[Zeit S&amp;R]]&gt;0,MIN(Table13[Zeit S&amp;R])/Table13[[#This Row],[Zeit S&amp;R]]*1000,0)</f>
        <v>0</v>
      </c>
      <c r="Y9" s="11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9" s="10">
        <f>(Table13[[#This Row],[Punkte S&amp;R]]+Table13[[#This Row],[Bonus S&amp;R]])</f>
        <v>0</v>
      </c>
      <c r="AA9" s="21" t="str">
        <f>IF(Table13[[#This Row],[Zeit S&amp;R]]&gt;0,_xlfn.RANK.EQ(Table13[[#This Row],[Gesamt S&amp;R]],Table13[Gesamt S&amp;R],0)," ")</f>
        <v xml:space="preserve"> </v>
      </c>
      <c r="AB9" s="14">
        <v>7.2581018518518517E-2</v>
      </c>
      <c r="AC9" s="21">
        <f>IF(Table13[[#This Row],[Zeit LC]]&gt;0,_xlfn.RANK.EQ(Table13[[#This Row],[Punkte LC]],Table13[Punkte LC],0)," ")</f>
        <v>3</v>
      </c>
      <c r="AD9" s="10">
        <f>IF(Table13[[#This Row],[Zeit LC]]&gt;0,MIN(Table13[Zeit LC])/Table13[[#This Row],[Zeit LC]]*1000,0)</f>
        <v>816.13777706904796</v>
      </c>
      <c r="AE9" s="10">
        <f>IF(Table13[[#This Row],[Zeit LC]]&gt;0,SUM(IF(Table13[[#This Row],[Alter]]&gt;40,(Table13[[#This Row],[Alter]]-40)*4,0),IF(AND(Table13[[#This Row],[Alter]]&lt;20,Table13[[#This Row],[Alter]]&gt;0),(20-Table13[[#This Row],[Alter]])*10,0)),0)</f>
        <v>84</v>
      </c>
      <c r="AF9" s="10">
        <f>(Table13[[#This Row],[Punkte LC]]+Table13[[#This Row],[Bonus LC]])</f>
        <v>900.13777706904796</v>
      </c>
      <c r="AG9" s="21">
        <f>IF(Table13[[#This Row],[Zeit LC]]&gt;0,_xlfn.RANK.EQ(Table13[[#This Row],[Gesamt LC]],Table13[Gesamt LC],0)," ")</f>
        <v>2</v>
      </c>
      <c r="AH9" s="23">
        <f>MAX( Z9,AF9)</f>
        <v>900.13777706904796</v>
      </c>
      <c r="AI9" s="14">
        <v>1.5682870370370371E-2</v>
      </c>
      <c r="AJ9" s="12">
        <f>IF(Table13[[#This Row],[Zeit BZF]]&gt;0,_xlfn.RANK.EQ(Table13[[#This Row],[Punkte BZF]],Table13[Punkte BZF],0)," ")</f>
        <v>13</v>
      </c>
      <c r="AK9" s="10">
        <f>IF(Table13[[#This Row],[Zeit BZF]]&gt;0,MIN(Table13[Zeit BZF])/Table13[[#This Row],[Zeit BZF]]*1000,0)</f>
        <v>805.90405904059037</v>
      </c>
      <c r="AL9" s="11">
        <f>IF(Table13[[#This Row],[Zeit BZF]]&gt;0,SUM(IF(Table13[[#This Row],[Alter]]&gt;40,(Table13[[#This Row],[Alter]]-40)*4,0),IF(AND(Table13[[#This Row],[Alter]]&lt;20,Table13[[#This Row],[Alter]]&gt;0),(20-Table13[[#This Row],[Alter]])*10,0)),0)</f>
        <v>84</v>
      </c>
      <c r="AM9" s="10">
        <f>(Table13[[#This Row],[Punkte BZF]]+Table13[[#This Row],[Bonus BZF]])</f>
        <v>889.90405904059037</v>
      </c>
      <c r="AN9" s="21">
        <f>IF(Table13[[#This Row],[Zeit BZF]]&gt;0,_xlfn.RANK.EQ(Table13[[#This Row],[Gesamt BZF]],Table13[Gesamt BZF],0)," ")</f>
        <v>7</v>
      </c>
      <c r="AO9" s="14">
        <v>2.2199074074074076E-2</v>
      </c>
      <c r="AP9" s="12">
        <f>IF(Table13[[#This Row],[Zeit EZF]]&gt;0,_xlfn.RANK.EQ(Table13[[#This Row],[Punkte EZF]],Table13[Punkte EZF],0)," ")</f>
        <v>5</v>
      </c>
      <c r="AQ9" s="10">
        <f>IF(Table13[[#This Row],[Zeit EZF]]&gt;0,MIN(Table13[Zeit EZF])/Table13[[#This Row],[Zeit EZF]]*1000,0)</f>
        <v>920.75078206465071</v>
      </c>
      <c r="AR9" s="11">
        <f>IF(Table13[[#This Row],[Zeit EZF]]&gt;0,SUM(IF(Table13[[#This Row],[Alter]]&gt;40,(Table13[[#This Row],[Alter]]-40)*4,0),IF(AND(Table13[[#This Row],[Alter]]&lt;20,Table13[[#This Row],[Alter]]&gt;0),(20-Table13[[#This Row],[Alter]])*10,0)),0)</f>
        <v>84</v>
      </c>
      <c r="AS9" s="10">
        <f>(Table13[[#This Row],[Punkte EZF]]+Table13[[#This Row],[Bonus EZF]])</f>
        <v>1004.7507820646507</v>
      </c>
      <c r="AT9" s="21">
        <f>IF(Table13[[#This Row],[Zeit EZF]]&gt;0,_xlfn.RANK.EQ(Table13[[#This Row],[Gesamt EZF]],Table13[Gesamt EZF],0)," ")</f>
        <v>1</v>
      </c>
      <c r="AU9" s="26">
        <f t="shared" ref="AU9" si="2">MAX( AM9,AS9)</f>
        <v>1004.7507820646507</v>
      </c>
    </row>
    <row r="10" spans="1:47" x14ac:dyDescent="0.25">
      <c r="A10" s="27" t="s">
        <v>80</v>
      </c>
      <c r="B10" s="1" t="s">
        <v>81</v>
      </c>
      <c r="C10" s="5"/>
      <c r="D10" s="5">
        <v>1996</v>
      </c>
      <c r="E10" s="6">
        <f>IF(Table13[[#This Row],[JG]],2024-Table13[[#This Row],[JG]],0)</f>
        <v>28</v>
      </c>
      <c r="F10" s="5"/>
      <c r="G10" s="49">
        <f t="shared" si="0"/>
        <v>1833.7271869008937</v>
      </c>
      <c r="H10" s="35">
        <f>_xlfn.RANK.EQ(Table13[[#This Row],[Gesamtpunkte]],Table13[Gesamtpunkte],0)</f>
        <v>8</v>
      </c>
      <c r="I10" s="9"/>
      <c r="J10" s="36" t="str">
        <f>IF(Table13[[#This Row],[Zeit LSC]]&gt;0,_xlfn.RANK.EQ(Table13[[#This Row],[Punkte LSC]],Table13[Punkte LSC],0)," ")</f>
        <v xml:space="preserve"> </v>
      </c>
      <c r="K10" s="7">
        <f>IF(Table13[[#This Row],[Zeit LSC]]&gt;0,MIN(Table13[Zeit LSC])/Table13[[#This Row],[Zeit LSC]]*1000,0)</f>
        <v>0</v>
      </c>
      <c r="L10" s="8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10" s="7">
        <f>(Table13[[#This Row],[Punkte LSC]]+Table13[[#This Row],[Bonus LSC]])</f>
        <v>0</v>
      </c>
      <c r="N10" s="15" t="str">
        <f>IF(Table13[[#This Row],[Zeit LSC]]&gt;0,_xlfn.RANK.EQ(Table13[[#This Row],[Gesamt LSC]],Table13[Gesamt LSC],0)," ")</f>
        <v xml:space="preserve"> </v>
      </c>
      <c r="O10" s="4"/>
      <c r="P10" s="37" t="str">
        <f>IF(Table13[[#This Row],[Zeit LKC]]&gt;0,_xlfn.RANK.EQ(Table13[[#This Row],[Punkte LKC]],Table13[Punkte LKC],0)," ")</f>
        <v xml:space="preserve"> </v>
      </c>
      <c r="Q10" s="16">
        <f>IF(Table13[[#This Row],[Zeit LKC]]&gt;0,MIN(Table13[Zeit LKC])/Table13[[#This Row],[Zeit LKC]]*1000,0)</f>
        <v>0</v>
      </c>
      <c r="R10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10" s="16">
        <f>(Table13[[#This Row],[Punkte LKC]]+Table13[[#This Row],[Bonus LKC]])</f>
        <v>0</v>
      </c>
      <c r="T10" s="18" t="str">
        <f>IF(Table13[[#This Row],[Zeit LKC]]&gt;0,_xlfn.RANK.EQ(Table13[[#This Row],[Gesamt LKC]],Table13[Gesamt LKC],0)," ")</f>
        <v xml:space="preserve"> </v>
      </c>
      <c r="U10" s="23">
        <f>MAX( S10,M10)</f>
        <v>0</v>
      </c>
      <c r="V10" s="14">
        <v>3.4305555555555554E-2</v>
      </c>
      <c r="W10" s="12">
        <f>IF(Table13[[#This Row],[Zeit S&amp;R]]&gt;0,_xlfn.RANK.EQ(Table13[[#This Row],[Punkte S&amp;R]],Table13[Punkte S&amp;R],0)," ")</f>
        <v>8</v>
      </c>
      <c r="X10" s="10">
        <f>IF(Table13[[#This Row],[Zeit S&amp;R]]&gt;0,MIN(Table13[Zeit S&amp;R])/Table13[[#This Row],[Zeit S&amp;R]]*1000,0)</f>
        <v>886.30229419703096</v>
      </c>
      <c r="Y10" s="11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10" s="10">
        <f>(Table13[[#This Row],[Punkte S&amp;R]]+Table13[[#This Row],[Bonus S&amp;R]])</f>
        <v>886.30229419703096</v>
      </c>
      <c r="AA10" s="21">
        <f>IF(Table13[[#This Row],[Zeit S&amp;R]]&gt;0,_xlfn.RANK.EQ(Table13[[#This Row],[Gesamt S&amp;R]],Table13[Gesamt S&amp;R],0)," ")</f>
        <v>8</v>
      </c>
      <c r="AB10" s="14"/>
      <c r="AC10" s="21" t="str">
        <f>IF(Table13[[#This Row],[Zeit LC]]&gt;0,_xlfn.RANK.EQ(Table13[[#This Row],[Punkte LC]],Table13[Punkte LC],0)," ")</f>
        <v xml:space="preserve"> </v>
      </c>
      <c r="AD10" s="10">
        <f>IF(Table13[[#This Row],[Zeit LC]]&gt;0,MIN(Table13[Zeit LC])/Table13[[#This Row],[Zeit LC]]*1000,0)</f>
        <v>0</v>
      </c>
      <c r="AE10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10" s="10">
        <f>(Table13[[#This Row],[Punkte LC]]+Table13[[#This Row],[Bonus LC]])</f>
        <v>0</v>
      </c>
      <c r="AG10" s="21" t="str">
        <f>IF(Table13[[#This Row],[Zeit LC]]&gt;0,_xlfn.RANK.EQ(Table13[[#This Row],[Gesamt LC]],Table13[Gesamt LC],0)," ")</f>
        <v xml:space="preserve"> </v>
      </c>
      <c r="AH10" s="23">
        <f>MAX( Z10,AF10)</f>
        <v>886.30229419703096</v>
      </c>
      <c r="AI10" s="14"/>
      <c r="AJ10" s="12" t="str">
        <f>IF(Table13[[#This Row],[Zeit BZF]]&gt;0,_xlfn.RANK.EQ(Table13[[#This Row],[Punkte BZF]],Table13[Punkte BZF],0)," ")</f>
        <v xml:space="preserve"> </v>
      </c>
      <c r="AK10" s="10">
        <f>IF(Table13[[#This Row],[Zeit BZF]]&gt;0,MIN(Table13[Zeit BZF])/Table13[[#This Row],[Zeit BZF]]*1000,0)</f>
        <v>0</v>
      </c>
      <c r="AL10" s="11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10" s="10">
        <f>(Table13[[#This Row],[Punkte BZF]]+Table13[[#This Row],[Bonus BZF]])</f>
        <v>0</v>
      </c>
      <c r="AN10" s="21" t="str">
        <f>IF(Table13[[#This Row],[Zeit BZF]]&gt;0,_xlfn.RANK.EQ(Table13[[#This Row],[Gesamt BZF]],Table13[Gesamt BZF],0)," ")</f>
        <v xml:space="preserve"> </v>
      </c>
      <c r="AO10" s="14">
        <v>2.1574074074074075E-2</v>
      </c>
      <c r="AP10" s="12">
        <f>IF(Table13[[#This Row],[Zeit EZF]]&gt;0,_xlfn.RANK.EQ(Table13[[#This Row],[Punkte EZF]],Table13[Punkte EZF],0)," ")</f>
        <v>2</v>
      </c>
      <c r="AQ10" s="10">
        <f>IF(Table13[[#This Row],[Zeit EZF]]&gt;0,MIN(Table13[Zeit EZF])/Table13[[#This Row],[Zeit EZF]]*1000,0)</f>
        <v>947.42489270386261</v>
      </c>
      <c r="AR10" s="11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10" s="10">
        <f>(Table13[[#This Row],[Punkte EZF]]+Table13[[#This Row],[Bonus EZF]])</f>
        <v>947.42489270386261</v>
      </c>
      <c r="AT10" s="21">
        <f>IF(Table13[[#This Row],[Zeit EZF]]&gt;0,_xlfn.RANK.EQ(Table13[[#This Row],[Gesamt EZF]],Table13[Gesamt EZF],0)," ")</f>
        <v>5</v>
      </c>
      <c r="AU10" s="26">
        <f t="shared" si="1"/>
        <v>947.42489270386261</v>
      </c>
    </row>
    <row r="11" spans="1:47" x14ac:dyDescent="0.25">
      <c r="A11" s="1" t="s">
        <v>121</v>
      </c>
      <c r="B11" s="1" t="s">
        <v>122</v>
      </c>
      <c r="C11" s="5"/>
      <c r="D11" s="5">
        <v>1998</v>
      </c>
      <c r="E11" s="6">
        <f>IF(Table13[[#This Row],[JG]],2024-Table13[[#This Row],[JG]],0)</f>
        <v>26</v>
      </c>
      <c r="F11" s="5"/>
      <c r="G11" s="49">
        <f t="shared" si="0"/>
        <v>1813.8051925420555</v>
      </c>
      <c r="H11" s="35">
        <f>_xlfn.RANK.EQ(Table13[[#This Row],[Gesamtpunkte]],Table13[Gesamtpunkte],0)</f>
        <v>9</v>
      </c>
      <c r="I11" s="28"/>
      <c r="J11" s="29" t="str">
        <f>IF(Table13[[#This Row],[Zeit LSC]]&gt;0,_xlfn.RANK.EQ(Table13[[#This Row],[Punkte LSC]],Table13[Punkte LSC],0)," ")</f>
        <v xml:space="preserve"> </v>
      </c>
      <c r="K11" s="30">
        <f>IF(Table13[[#This Row],[Zeit LSC]]&gt;0,MIN(Table13[Zeit LSC])/Table13[[#This Row],[Zeit LSC]]*1000,0)</f>
        <v>0</v>
      </c>
      <c r="L11" s="3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11" s="30">
        <f>(Table13[[#This Row],[Punkte LSC]]+Table13[[#This Row],[Bonus LSC]])</f>
        <v>0</v>
      </c>
      <c r="N11" s="32" t="str">
        <f>IF(Table13[[#This Row],[Zeit LSC]]&gt;0,_xlfn.RANK.EQ(Table13[[#This Row],[Gesamt LSC]],Table13[Gesamt LSC],0)," ")</f>
        <v xml:space="preserve"> </v>
      </c>
      <c r="O11" s="5"/>
      <c r="P11" s="6" t="str">
        <f>IF(Table13[[#This Row],[Zeit LKC]]&gt;0,_xlfn.RANK.EQ(Table13[[#This Row],[Punkte LKC]],Table13[Punkte LKC],0)," ")</f>
        <v xml:space="preserve"> </v>
      </c>
      <c r="Q11" s="16">
        <f>IF(Table13[[#This Row],[Zeit LKC]]&gt;0,MIN(Table13[Zeit LKC])/Table13[[#This Row],[Zeit LKC]]*1000,0)</f>
        <v>0</v>
      </c>
      <c r="R11" s="33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11" s="19">
        <f>(Table13[[#This Row],[Punkte LKC]]+Table13[[#This Row],[Bonus LKC]])</f>
        <v>0</v>
      </c>
      <c r="T11" s="25" t="str">
        <f>IF(Table13[[#This Row],[Zeit LKC]]&gt;0,_xlfn.RANK.EQ(Table13[[#This Row],[Gesamt LKC]],Table13[Gesamt LKC],0)," ")</f>
        <v xml:space="preserve"> </v>
      </c>
      <c r="U11" s="23">
        <f>MAX( S11,M11)</f>
        <v>0</v>
      </c>
      <c r="V11" s="14">
        <v>3.5081018518518518E-2</v>
      </c>
      <c r="W11" s="12">
        <f>IF(Table13[[#This Row],[Zeit S&amp;R]]&gt;0,_xlfn.RANK.EQ(Table13[[#This Row],[Punkte S&amp;R]],Table13[Punkte S&amp;R],0)," ")</f>
        <v>9</v>
      </c>
      <c r="X11" s="10">
        <f>IF(Table13[[#This Row],[Zeit S&amp;R]]&gt;0,MIN(Table13[Zeit S&amp;R])/Table13[[#This Row],[Zeit S&amp;R]]*1000,0)</f>
        <v>866.71065654899371</v>
      </c>
      <c r="Y11" s="11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11" s="10">
        <f>(Table13[[#This Row],[Punkte S&amp;R]]+Table13[[#This Row],[Bonus S&amp;R]])</f>
        <v>866.71065654899371</v>
      </c>
      <c r="AA11" s="21">
        <f>IF(Table13[[#This Row],[Zeit S&amp;R]]&gt;0,_xlfn.RANK.EQ(Table13[[#This Row],[Gesamt S&amp;R]],Table13[Gesamt S&amp;R],0)," ")</f>
        <v>10</v>
      </c>
      <c r="AB11" s="14"/>
      <c r="AC11" s="21" t="str">
        <f>IF(Table13[[#This Row],[Zeit LC]]&gt;0,_xlfn.RANK.EQ(Table13[[#This Row],[Punkte LC]],Table13[Punkte LC],0)," ")</f>
        <v xml:space="preserve"> </v>
      </c>
      <c r="AD11" s="10">
        <f>IF(Table13[[#This Row],[Zeit LC]]&gt;0,MIN(Table13[Zeit LC])/Table13[[#This Row],[Zeit LC]]*1000,0)</f>
        <v>0</v>
      </c>
      <c r="AE11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11" s="10">
        <f>(Table13[[#This Row],[Punkte LC]]+Table13[[#This Row],[Bonus LC]])</f>
        <v>0</v>
      </c>
      <c r="AG11" s="21" t="str">
        <f>IF(Table13[[#This Row],[Zeit LC]]&gt;0,_xlfn.RANK.EQ(Table13[[#This Row],[Gesamt LC]],Table13[Gesamt LC],0)," ")</f>
        <v xml:space="preserve"> </v>
      </c>
      <c r="AH11" s="23">
        <f>MAX( Z11,AF11)</f>
        <v>866.71065654899371</v>
      </c>
      <c r="AI11" s="14">
        <v>1.3344907407407408E-2</v>
      </c>
      <c r="AJ11" s="12">
        <f>IF(Table13[[#This Row],[Zeit BZF]]&gt;0,_xlfn.RANK.EQ(Table13[[#This Row],[Punkte BZF]],Table13[Punkte BZF],0)," ")</f>
        <v>2</v>
      </c>
      <c r="AK11" s="10">
        <f>IF(Table13[[#This Row],[Zeit BZF]]&gt;0,MIN(Table13[Zeit BZF])/Table13[[#This Row],[Zeit BZF]]*1000,0)</f>
        <v>947.09453599306164</v>
      </c>
      <c r="AL11" s="11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11" s="10">
        <f>(Table13[[#This Row],[Punkte BZF]]+Table13[[#This Row],[Bonus BZF]])</f>
        <v>947.09453599306164</v>
      </c>
      <c r="AN11" s="21">
        <f>IF(Table13[[#This Row],[Zeit BZF]]&gt;0,_xlfn.RANK.EQ(Table13[[#This Row],[Gesamt BZF]],Table13[Gesamt BZF],0)," ")</f>
        <v>4</v>
      </c>
      <c r="AO11" s="14">
        <v>2.2465277777777778E-2</v>
      </c>
      <c r="AP11" s="12">
        <f>IF(Table13[[#This Row],[Zeit EZF]]&gt;0,_xlfn.RANK.EQ(Table13[[#This Row],[Punkte EZF]],Table13[Punkte EZF],0)," ")</f>
        <v>7</v>
      </c>
      <c r="AQ11" s="10">
        <f>IF(Table13[[#This Row],[Zeit EZF]]&gt;0,MIN(Table13[Zeit EZF])/Table13[[#This Row],[Zeit EZF]]*1000,0)</f>
        <v>909.84028851107678</v>
      </c>
      <c r="AR11" s="11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11" s="10">
        <f>(Table13[[#This Row],[Punkte EZF]]+Table13[[#This Row],[Bonus EZF]])</f>
        <v>909.84028851107678</v>
      </c>
      <c r="AT11" s="21">
        <f>IF(Table13[[#This Row],[Zeit EZF]]&gt;0,_xlfn.RANK.EQ(Table13[[#This Row],[Gesamt EZF]],Table13[Gesamt EZF],0)," ")</f>
        <v>8</v>
      </c>
      <c r="AU11" s="26">
        <f t="shared" si="1"/>
        <v>947.09453599306164</v>
      </c>
    </row>
    <row r="12" spans="1:47" x14ac:dyDescent="0.25">
      <c r="A12" s="1" t="s">
        <v>150</v>
      </c>
      <c r="B12" s="1" t="s">
        <v>112</v>
      </c>
      <c r="C12" s="4"/>
      <c r="D12" s="4">
        <v>1999</v>
      </c>
      <c r="E12" s="4">
        <f>IF(Table13[[#This Row],[JG]],2024-Table13[[#This Row],[JG]],0)</f>
        <v>25</v>
      </c>
      <c r="F12" s="4"/>
      <c r="G12" s="49">
        <f t="shared" si="0"/>
        <v>1806.528019482027</v>
      </c>
      <c r="H12" s="35">
        <f>_xlfn.RANK.EQ(Table13[[#This Row],[Gesamtpunkte]],Table13[Gesamtpunkte],0)</f>
        <v>10</v>
      </c>
      <c r="I12" s="9"/>
      <c r="J12" s="13" t="str">
        <f>IF(Table13[[#This Row],[Zeit LSC]]&gt;0,_xlfn.RANK.EQ(Table13[[#This Row],[Punkte LSC]],Table13[Punkte LSC],0)," ")</f>
        <v xml:space="preserve"> </v>
      </c>
      <c r="K12" s="7">
        <f>IF(Table13[[#This Row],[Zeit LSC]]&gt;0,MIN(Table13[Zeit LSC])/Table13[[#This Row],[Zeit LSC]]*1000,0)</f>
        <v>0</v>
      </c>
      <c r="L12" s="8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12" s="7">
        <f>(Table13[[#This Row],[Punkte LSC]]+Table13[[#This Row],[Bonus LSC]])</f>
        <v>0</v>
      </c>
      <c r="N12" s="15" t="str">
        <f>IF(Table13[[#This Row],[Zeit LSC]]&gt;0,_xlfn.RANK.EQ(Table13[[#This Row],[Gesamt LSC]],Table13[Gesamt LSC],0)," ")</f>
        <v xml:space="preserve"> </v>
      </c>
      <c r="O12" s="9"/>
      <c r="P12" s="4" t="str">
        <f>IF(Table13[[#This Row],[Zeit LKC]]&gt;0,_xlfn.RANK.EQ(Table13[[#This Row],[Punkte LKC]],Table13[Punkte LKC],0)," ")</f>
        <v xml:space="preserve"> </v>
      </c>
      <c r="Q12" s="16">
        <f>IF(Table13[[#This Row],[Zeit LKC]]&gt;0,MIN(Table13[Zeit LKC])/Table13[[#This Row],[Zeit LKC]]*1000,0)</f>
        <v>0</v>
      </c>
      <c r="R12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12" s="16">
        <f>(Table13[[#This Row],[Punkte LKC]]+Table13[[#This Row],[Bonus LKC]])</f>
        <v>0</v>
      </c>
      <c r="T12" s="18" t="str">
        <f>IF(Table13[[#This Row],[Zeit LKC]]&gt;0,_xlfn.RANK.EQ(Table13[[#This Row],[Gesamt LKC]],Table13[Gesamt LKC],0)," ")</f>
        <v xml:space="preserve"> </v>
      </c>
      <c r="U12" s="23">
        <f>MAX( S12,M12)</f>
        <v>0</v>
      </c>
      <c r="V12" s="9">
        <v>3.3425925925925921E-2</v>
      </c>
      <c r="W12" s="12">
        <f>IF(Table13[[#This Row],[Zeit S&amp;R]]&gt;0,_xlfn.RANK.EQ(Table13[[#This Row],[Punkte S&amp;R]],Table13[Punkte S&amp;R],0)," ")</f>
        <v>7</v>
      </c>
      <c r="X12" s="7">
        <f>IF(Table13[[#This Row],[Zeit S&amp;R]]&gt;0,MIN(Table13[Zeit S&amp;R])/Table13[[#This Row],[Zeit S&amp;R]]*1000,0)</f>
        <v>909.62603878116352</v>
      </c>
      <c r="Y12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12" s="7">
        <f>(Table13[[#This Row],[Punkte S&amp;R]]+Table13[[#This Row],[Bonus S&amp;R]])</f>
        <v>909.62603878116352</v>
      </c>
      <c r="AA12" s="15">
        <f>IF(Table13[[#This Row],[Zeit S&amp;R]]&gt;0,_xlfn.RANK.EQ(Table13[[#This Row],[Gesamt S&amp;R]],Table13[Gesamt S&amp;R],0)," ")</f>
        <v>7</v>
      </c>
      <c r="AB12" s="7"/>
      <c r="AC12" s="15" t="str">
        <f>IF(Table13[[#This Row],[Zeit LC]]&gt;0,_xlfn.RANK.EQ(Table13[[#This Row],[Punkte LC]],Table13[Punkte LC],0)," ")</f>
        <v xml:space="preserve"> </v>
      </c>
      <c r="AD12" s="7">
        <f>IF(Table13[[#This Row],[Zeit LC]]&gt;0,MIN(Table13[Zeit LC])/Table13[[#This Row],[Zeit LC]]*1000,0)</f>
        <v>0</v>
      </c>
      <c r="AE12" s="7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12" s="7">
        <f>(Table13[[#This Row],[Punkte LC]]+Table13[[#This Row],[Bonus LC]])</f>
        <v>0</v>
      </c>
      <c r="AG12" s="15" t="str">
        <f>IF(Table13[[#This Row],[Zeit LC]]&gt;0,_xlfn.RANK.EQ(Table13[[#This Row],[Gesamt LC]],Table13[Gesamt LC],0)," ")</f>
        <v xml:space="preserve"> </v>
      </c>
      <c r="AH12" s="23">
        <f>MAX( Z12,AF12)</f>
        <v>909.62603878116352</v>
      </c>
      <c r="AI12" s="9"/>
      <c r="AJ12" s="12" t="str">
        <f>IF(Table13[[#This Row],[Zeit BZF]]&gt;0,_xlfn.RANK.EQ(Table13[[#This Row],[Punkte BZF]],Table13[Punkte BZF],0)," ")</f>
        <v xml:space="preserve"> </v>
      </c>
      <c r="AK12" s="10">
        <f>IF(Table13[[#This Row],[Zeit BZF]]&gt;0,MIN(Table13[Zeit BZF])/Table13[[#This Row],[Zeit BZF]]*1000,0)</f>
        <v>0</v>
      </c>
      <c r="AL12" s="8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12" s="7">
        <f>(Table13[[#This Row],[Punkte BZF]]+Table13[[#This Row],[Bonus BZF]])</f>
        <v>0</v>
      </c>
      <c r="AN12" s="15" t="str">
        <f>IF(Table13[[#This Row],[Zeit BZF]]&gt;0,_xlfn.RANK.EQ(Table13[[#This Row],[Gesamt BZF]],Table13[Gesamt BZF],0)," ")</f>
        <v xml:space="preserve"> </v>
      </c>
      <c r="AO12" s="9">
        <v>2.2789351851851852E-2</v>
      </c>
      <c r="AP12" s="12">
        <f>IF(Table13[[#This Row],[Zeit EZF]]&gt;0,_xlfn.RANK.EQ(Table13[[#This Row],[Punkte EZF]],Table13[Punkte EZF],0)," ")</f>
        <v>12</v>
      </c>
      <c r="AQ12" s="10">
        <f>IF(Table13[[#This Row],[Zeit EZF]]&gt;0,MIN(Table13[Zeit EZF])/Table13[[#This Row],[Zeit EZF]]*1000,0)</f>
        <v>896.90198070086342</v>
      </c>
      <c r="AR12" s="8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12" s="7">
        <f>(Table13[[#This Row],[Punkte EZF]]+Table13[[#This Row],[Bonus EZF]])</f>
        <v>896.90198070086342</v>
      </c>
      <c r="AT12" s="15">
        <f>IF(Table13[[#This Row],[Zeit EZF]]&gt;0,_xlfn.RANK.EQ(Table13[[#This Row],[Gesamt EZF]],Table13[Gesamt EZF],0)," ")</f>
        <v>13</v>
      </c>
      <c r="AU12" s="26">
        <f t="shared" si="1"/>
        <v>896.90198070086342</v>
      </c>
    </row>
    <row r="13" spans="1:47" x14ac:dyDescent="0.25">
      <c r="A13" s="1" t="s">
        <v>84</v>
      </c>
      <c r="B13" s="1" t="s">
        <v>133</v>
      </c>
      <c r="C13" s="4">
        <v>1</v>
      </c>
      <c r="D13" s="4">
        <v>2001</v>
      </c>
      <c r="E13" s="4">
        <f>IF(Table13[[#This Row],[JG]],2024-Table13[[#This Row],[JG]],0)</f>
        <v>23</v>
      </c>
      <c r="F13" s="4"/>
      <c r="G13" s="49">
        <f t="shared" si="0"/>
        <v>1788.7391304347825</v>
      </c>
      <c r="H13" s="35">
        <f>_xlfn.RANK.EQ(Table13[[#This Row],[Gesamtpunkte]],Table13[Gesamtpunkte],0)</f>
        <v>11</v>
      </c>
      <c r="I13" s="9"/>
      <c r="J13" s="13" t="str">
        <f>IF(Table13[[#This Row],[Zeit LSC]]&gt;0,_xlfn.RANK.EQ(Table13[[#This Row],[Punkte LSC]],Table13[Punkte LSC],0)," ")</f>
        <v xml:space="preserve"> </v>
      </c>
      <c r="K13" s="7">
        <f>IF(Table13[[#This Row],[Zeit LSC]]&gt;0,MIN(Table13[Zeit LSC])/Table13[[#This Row],[Zeit LSC]]*1000,0)</f>
        <v>0</v>
      </c>
      <c r="L13" s="8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13" s="7">
        <f>(Table13[[#This Row],[Punkte LSC]]+Table13[[#This Row],[Bonus LSC]])</f>
        <v>0</v>
      </c>
      <c r="N13" s="15" t="str">
        <f>IF(Table13[[#This Row],[Zeit LSC]]&gt;0,_xlfn.RANK.EQ(Table13[[#This Row],[Gesamt LSC]],Table13[Gesamt LSC],0)," ")</f>
        <v xml:space="preserve"> </v>
      </c>
      <c r="O13" s="9"/>
      <c r="P13" s="4" t="str">
        <f>IF(Table13[[#This Row],[Zeit LKC]]&gt;0,_xlfn.RANK.EQ(Table13[[#This Row],[Punkte LKC]],Table13[Punkte LKC],0)," ")</f>
        <v xml:space="preserve"> </v>
      </c>
      <c r="Q13" s="16">
        <f>IF(Table13[[#This Row],[Zeit LKC]]&gt;0,MIN(Table13[Zeit LKC])/Table13[[#This Row],[Zeit LKC]]*1000,0)</f>
        <v>0</v>
      </c>
      <c r="R13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13" s="16">
        <f>(Table13[[#This Row],[Punkte LKC]]+Table13[[#This Row],[Bonus LKC]])</f>
        <v>0</v>
      </c>
      <c r="T13" s="18" t="str">
        <f>IF(Table13[[#This Row],[Zeit LKC]]&gt;0,_xlfn.RANK.EQ(Table13[[#This Row],[Gesamt LKC]],Table13[Gesamt LKC],0)," ")</f>
        <v xml:space="preserve"> </v>
      </c>
      <c r="U13" s="23">
        <f>MAX( S13,M13)</f>
        <v>0</v>
      </c>
      <c r="V13" s="9">
        <v>3.3275462962962958E-2</v>
      </c>
      <c r="W13" s="12">
        <f>IF(Table13[[#This Row],[Zeit S&amp;R]]&gt;0,_xlfn.RANK.EQ(Table13[[#This Row],[Punkte S&amp;R]],Table13[Punkte S&amp;R],0)," ")</f>
        <v>5</v>
      </c>
      <c r="X13" s="7">
        <f>IF(Table13[[#This Row],[Zeit S&amp;R]]&gt;0,MIN(Table13[Zeit S&amp;R])/Table13[[#This Row],[Zeit S&amp;R]]*1000,0)</f>
        <v>913.73913043478274</v>
      </c>
      <c r="Y13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13" s="7">
        <f>(Table13[[#This Row],[Punkte S&amp;R]]+Table13[[#This Row],[Bonus S&amp;R]])</f>
        <v>913.73913043478274</v>
      </c>
      <c r="AA13" s="15">
        <f>IF(Table13[[#This Row],[Zeit S&amp;R]]&gt;0,_xlfn.RANK.EQ(Table13[[#This Row],[Gesamt S&amp;R]],Table13[Gesamt S&amp;R],0)," ")</f>
        <v>5</v>
      </c>
      <c r="AB13" s="9"/>
      <c r="AC13" s="15" t="str">
        <f>IF(Table13[[#This Row],[Zeit LC]]&gt;0,_xlfn.RANK.EQ(Table13[[#This Row],[Punkte LC]],Table13[Punkte LC],0)," ")</f>
        <v xml:space="preserve"> </v>
      </c>
      <c r="AD13" s="7">
        <f>IF(Table13[[#This Row],[Zeit LC]]&gt;0,MIN(Table13[Zeit LC])/Table13[[#This Row],[Zeit LC]]*1000,0)</f>
        <v>0</v>
      </c>
      <c r="AE13" s="7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13" s="7">
        <f>(Table13[[#This Row],[Punkte LC]]+Table13[[#This Row],[Bonus LC]])</f>
        <v>0</v>
      </c>
      <c r="AG13" s="15" t="str">
        <f>IF(Table13[[#This Row],[Zeit LC]]&gt;0,_xlfn.RANK.EQ(Table13[[#This Row],[Gesamt LC]],Table13[Gesamt LC],0)," ")</f>
        <v xml:space="preserve"> </v>
      </c>
      <c r="AH13" s="23">
        <f>MAX( Z13,AF13)</f>
        <v>913.73913043478274</v>
      </c>
      <c r="AI13" s="9">
        <v>1.4444444444444446E-2</v>
      </c>
      <c r="AJ13" s="12">
        <f>IF(Table13[[#This Row],[Zeit BZF]]&gt;0,_xlfn.RANK.EQ(Table13[[#This Row],[Punkte BZF]],Table13[Punkte BZF],0)," ")</f>
        <v>7</v>
      </c>
      <c r="AK13" s="10">
        <f>IF(Table13[[#This Row],[Zeit BZF]]&gt;0,MIN(Table13[Zeit BZF])/Table13[[#This Row],[Zeit BZF]]*1000,0)</f>
        <v>874.99999999999989</v>
      </c>
      <c r="AL13" s="8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13" s="7">
        <f>(Table13[[#This Row],[Punkte BZF]]+Table13[[#This Row],[Bonus BZF]])</f>
        <v>874.99999999999989</v>
      </c>
      <c r="AN13" s="15">
        <f>IF(Table13[[#This Row],[Zeit BZF]]&gt;0,_xlfn.RANK.EQ(Table13[[#This Row],[Gesamt BZF]],Table13[Gesamt BZF],0)," ")</f>
        <v>9</v>
      </c>
      <c r="AO13" s="9"/>
      <c r="AP13" s="12" t="str">
        <f>IF(Table13[[#This Row],[Zeit EZF]]&gt;0,_xlfn.RANK.EQ(Table13[[#This Row],[Punkte EZF]],Table13[Punkte EZF],0)," ")</f>
        <v xml:space="preserve"> </v>
      </c>
      <c r="AQ13" s="10">
        <f>IF(Table13[[#This Row],[Zeit EZF]]&gt;0,MIN(Table13[Zeit EZF])/Table13[[#This Row],[Zeit EZF]]*1000,0)</f>
        <v>0</v>
      </c>
      <c r="AR13" s="8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13" s="7">
        <f>(Table13[[#This Row],[Punkte EZF]]+Table13[[#This Row],[Bonus EZF]])</f>
        <v>0</v>
      </c>
      <c r="AT13" s="15" t="str">
        <f>IF(Table13[[#This Row],[Zeit EZF]]&gt;0,_xlfn.RANK.EQ(Table13[[#This Row],[Gesamt EZF]],Table13[Gesamt EZF],0)," ")</f>
        <v xml:space="preserve"> </v>
      </c>
      <c r="AU13" s="26">
        <f t="shared" si="1"/>
        <v>874.99999999999989</v>
      </c>
    </row>
    <row r="14" spans="1:47" x14ac:dyDescent="0.25">
      <c r="A14" s="1" t="s">
        <v>76</v>
      </c>
      <c r="B14" s="1" t="s">
        <v>70</v>
      </c>
      <c r="C14" s="4">
        <v>1</v>
      </c>
      <c r="D14" s="4">
        <v>1973</v>
      </c>
      <c r="E14" s="4">
        <f>IF(Table13[[#This Row],[JG]],2024-Table13[[#This Row],[JG]],0)</f>
        <v>51</v>
      </c>
      <c r="F14" s="4"/>
      <c r="G14" s="49">
        <f t="shared" si="0"/>
        <v>1727.929040374258</v>
      </c>
      <c r="H14" s="35">
        <f>_xlfn.RANK.EQ(Table13[[#This Row],[Gesamtpunkte]],Table13[Gesamtpunkte],0)</f>
        <v>12</v>
      </c>
      <c r="I14" s="9"/>
      <c r="J14" s="13" t="str">
        <f>IF(Table13[[#This Row],[Zeit LSC]]&gt;0,_xlfn.RANK.EQ(Table13[[#This Row],[Punkte LSC]],Table13[Punkte LSC],0)," ")</f>
        <v xml:space="preserve"> </v>
      </c>
      <c r="K14" s="7">
        <f>IF(Table13[[#This Row],[Zeit LSC]]&gt;0,MIN(Table13[Zeit LSC])/Table13[[#This Row],[Zeit LSC]]*1000,0)</f>
        <v>0</v>
      </c>
      <c r="L14" s="8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14" s="7">
        <f>(Table13[[#This Row],[Punkte LSC]]+Table13[[#This Row],[Bonus LSC]])</f>
        <v>0</v>
      </c>
      <c r="N14" s="15" t="str">
        <f>IF(Table13[[#This Row],[Zeit LSC]]&gt;0,_xlfn.RANK.EQ(Table13[[#This Row],[Gesamt LSC]],Table13[Gesamt LSC],0)," ")</f>
        <v xml:space="preserve"> </v>
      </c>
      <c r="O14" s="9"/>
      <c r="P14" s="4" t="str">
        <f>IF(Table13[[#This Row],[Zeit LKC]]&gt;0,_xlfn.RANK.EQ(Table13[[#This Row],[Punkte LKC]],Table13[Punkte LKC],0)," ")</f>
        <v xml:space="preserve"> </v>
      </c>
      <c r="Q14" s="16">
        <f>IF(Table13[[#This Row],[Zeit LKC]]&gt;0,MIN(Table13[Zeit LKC])/Table13[[#This Row],[Zeit LKC]]*1000,0)</f>
        <v>0</v>
      </c>
      <c r="R14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14" s="16">
        <f>(Table13[[#This Row],[Punkte LKC]]+Table13[[#This Row],[Bonus LKC]])</f>
        <v>0</v>
      </c>
      <c r="T14" s="18" t="str">
        <f>IF(Table13[[#This Row],[Zeit LKC]]&gt;0,_xlfn.RANK.EQ(Table13[[#This Row],[Gesamt LKC]],Table13[Gesamt LKC],0)," ")</f>
        <v xml:space="preserve"> </v>
      </c>
      <c r="U14" s="23">
        <f>MAX( S14,M14)</f>
        <v>0</v>
      </c>
      <c r="V14" s="9">
        <v>3.861111111111111E-2</v>
      </c>
      <c r="W14" s="12">
        <f>IF(Table13[[#This Row],[Zeit S&amp;R]]&gt;0,_xlfn.RANK.EQ(Table13[[#This Row],[Punkte S&amp;R]],Table13[Punkte S&amp;R],0)," ")</f>
        <v>12</v>
      </c>
      <c r="X14" s="7">
        <f>IF(Table13[[#This Row],[Zeit S&amp;R]]&gt;0,MIN(Table13[Zeit S&amp;R])/Table13[[#This Row],[Zeit S&amp;R]]*1000,0)</f>
        <v>787.47002398081531</v>
      </c>
      <c r="Y14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44</v>
      </c>
      <c r="Z14" s="7">
        <f>(Table13[[#This Row],[Punkte S&amp;R]]+Table13[[#This Row],[Bonus S&amp;R]])</f>
        <v>831.47002398081531</v>
      </c>
      <c r="AA14" s="15">
        <f>IF(Table13[[#This Row],[Zeit S&amp;R]]&gt;0,_xlfn.RANK.EQ(Table13[[#This Row],[Gesamt S&amp;R]],Table13[Gesamt S&amp;R],0)," ")</f>
        <v>11</v>
      </c>
      <c r="AB14" s="9"/>
      <c r="AC14" s="15" t="str">
        <f>IF(Table13[[#This Row],[Zeit LC]]&gt;0,_xlfn.RANK.EQ(Table13[[#This Row],[Punkte LC]],Table13[Punkte LC],0)," ")</f>
        <v xml:space="preserve"> </v>
      </c>
      <c r="AD14" s="7">
        <f>IF(Table13[[#This Row],[Zeit LC]]&gt;0,MIN(Table13[Zeit LC])/Table13[[#This Row],[Zeit LC]]*1000,0)</f>
        <v>0</v>
      </c>
      <c r="AE14" s="7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14" s="7">
        <f>(Table13[[#This Row],[Punkte LC]]+Table13[[#This Row],[Bonus LC]])</f>
        <v>0</v>
      </c>
      <c r="AG14" s="15" t="str">
        <f>IF(Table13[[#This Row],[Zeit LC]]&gt;0,_xlfn.RANK.EQ(Table13[[#This Row],[Gesamt LC]],Table13[Gesamt LC],0)," ")</f>
        <v xml:space="preserve"> </v>
      </c>
      <c r="AH14" s="23">
        <f>MAX( Z14,AF14)</f>
        <v>831.47002398081531</v>
      </c>
      <c r="AI14" s="9">
        <v>1.4826388888888889E-2</v>
      </c>
      <c r="AJ14" s="12">
        <f>IF(Table13[[#This Row],[Zeit BZF]]&gt;0,_xlfn.RANK.EQ(Table13[[#This Row],[Punkte BZF]],Table13[Punkte BZF],0)," ")</f>
        <v>9</v>
      </c>
      <c r="AK14" s="10">
        <f>IF(Table13[[#This Row],[Zeit BZF]]&gt;0,MIN(Table13[Zeit BZF])/Table13[[#This Row],[Zeit BZF]]*1000,0)</f>
        <v>852.45901639344254</v>
      </c>
      <c r="AL14" s="8">
        <f>IF(Table13[[#This Row],[Zeit BZF]]&gt;0,SUM(IF(Table13[[#This Row],[Alter]]&gt;40,(Table13[[#This Row],[Alter]]-40)*4,0),IF(AND(Table13[[#This Row],[Alter]]&lt;20,Table13[[#This Row],[Alter]]&gt;0),(20-Table13[[#This Row],[Alter]])*10,0)),0)</f>
        <v>44</v>
      </c>
      <c r="AM14" s="7">
        <f>(Table13[[#This Row],[Punkte BZF]]+Table13[[#This Row],[Bonus BZF]])</f>
        <v>896.45901639344254</v>
      </c>
      <c r="AN14" s="15">
        <f>IF(Table13[[#This Row],[Zeit BZF]]&gt;0,_xlfn.RANK.EQ(Table13[[#This Row],[Gesamt BZF]],Table13[Gesamt BZF],0)," ")</f>
        <v>6</v>
      </c>
      <c r="AO14" s="9"/>
      <c r="AP14" s="12" t="str">
        <f>IF(Table13[[#This Row],[Zeit EZF]]&gt;0,_xlfn.RANK.EQ(Table13[[#This Row],[Punkte EZF]],Table13[Punkte EZF],0)," ")</f>
        <v xml:space="preserve"> </v>
      </c>
      <c r="AQ14" s="10">
        <f>IF(Table13[[#This Row],[Zeit EZF]]&gt;0,MIN(Table13[Zeit EZF])/Table13[[#This Row],[Zeit EZF]]*1000,0)</f>
        <v>0</v>
      </c>
      <c r="AR14" s="8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14" s="7">
        <f>(Table13[[#This Row],[Punkte EZF]]+Table13[[#This Row],[Bonus EZF]])</f>
        <v>0</v>
      </c>
      <c r="AT14" s="15" t="str">
        <f>IF(Table13[[#This Row],[Zeit EZF]]&gt;0,_xlfn.RANK.EQ(Table13[[#This Row],[Gesamt EZF]],Table13[Gesamt EZF],0)," ")</f>
        <v xml:space="preserve"> </v>
      </c>
      <c r="AU14" s="26">
        <f t="shared" ref="AU14" si="3">MAX( AM14,AS14)</f>
        <v>896.45901639344254</v>
      </c>
    </row>
    <row r="15" spans="1:47" x14ac:dyDescent="0.25">
      <c r="A15" s="1" t="s">
        <v>84</v>
      </c>
      <c r="B15" s="1" t="s">
        <v>112</v>
      </c>
      <c r="C15" s="5"/>
      <c r="D15" s="5">
        <v>2001</v>
      </c>
      <c r="E15" s="6">
        <f>IF(Table13[[#This Row],[JG]],2024-Table13[[#This Row],[JG]],0)</f>
        <v>23</v>
      </c>
      <c r="F15" s="4" t="s">
        <v>34</v>
      </c>
      <c r="G15" s="49">
        <f t="shared" si="0"/>
        <v>1656.111791371341</v>
      </c>
      <c r="H15" s="35">
        <f>_xlfn.RANK.EQ(Table13[[#This Row],[Gesamtpunkte]],Table13[Gesamtpunkte],0)</f>
        <v>13</v>
      </c>
      <c r="I15" s="14">
        <v>4.2442129629629628E-2</v>
      </c>
      <c r="J15" s="13">
        <f>IF(Table13[[#This Row],[Zeit LSC]]&gt;0,_xlfn.RANK.EQ(Table13[[#This Row],[Punkte LSC]],Table13[Punkte LSC],0)," ")</f>
        <v>9</v>
      </c>
      <c r="K15" s="10">
        <f>IF(Table13[[#This Row],[Zeit LSC]]&gt;0,MIN(Table13[Zeit LSC])/Table13[[#This Row],[Zeit LSC]]*1000,0)</f>
        <v>712.84428688301068</v>
      </c>
      <c r="L15" s="1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15" s="10">
        <f>(Table13[[#This Row],[Punkte LSC]]+Table13[[#This Row],[Bonus LSC]])</f>
        <v>712.84428688301068</v>
      </c>
      <c r="N15" s="15">
        <f>IF(Table13[[#This Row],[Zeit LSC]]&gt;0,_xlfn.RANK.EQ(Table13[[#This Row],[Gesamt LSC]],Table13[Gesamt LSC],0)," ")</f>
        <v>10</v>
      </c>
      <c r="O15" s="9"/>
      <c r="P15" s="5" t="str">
        <f>IF(Table13[[#This Row],[Zeit LKC]]&gt;0,_xlfn.RANK.EQ(Table13[[#This Row],[Punkte LKC]],Table13[Punkte LKC],0)," ")</f>
        <v xml:space="preserve"> </v>
      </c>
      <c r="Q15" s="16">
        <f>IF(Table13[[#This Row],[Zeit LKC]]&gt;0,MIN(Table13[Zeit LKC])/Table13[[#This Row],[Zeit LKC]]*1000,0)</f>
        <v>0</v>
      </c>
      <c r="R15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15" s="16">
        <f>(Table13[[#This Row],[Punkte LKC]]+Table13[[#This Row],[Bonus LKC]])</f>
        <v>0</v>
      </c>
      <c r="T15" s="18" t="str">
        <f>IF(Table13[[#This Row],[Zeit LKC]]&gt;0,_xlfn.RANK.EQ(Table13[[#This Row],[Gesamt LKC]],Table13[Gesamt LKC],0)," ")</f>
        <v xml:space="preserve"> </v>
      </c>
      <c r="U15" s="23">
        <f>MAX( S15,M15)</f>
        <v>712.84428688301068</v>
      </c>
      <c r="V15" s="14">
        <v>3.2233796296296295E-2</v>
      </c>
      <c r="W15" s="12">
        <f>IF(Table13[[#This Row],[Zeit S&amp;R]]&gt;0,_xlfn.RANK.EQ(Table13[[#This Row],[Punkte S&amp;R]],Table13[Punkte S&amp;R],0)," ")</f>
        <v>4</v>
      </c>
      <c r="X15" s="10">
        <f>IF(Table13[[#This Row],[Zeit S&amp;R]]&gt;0,MIN(Table13[Zeit S&amp;R])/Table13[[#This Row],[Zeit S&amp;R]]*1000,0)</f>
        <v>943.26750448833025</v>
      </c>
      <c r="Y15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15" s="10">
        <f>(Table13[[#This Row],[Punkte S&amp;R]]+Table13[[#This Row],[Bonus S&amp;R]])</f>
        <v>943.26750448833025</v>
      </c>
      <c r="AA15" s="15">
        <f>IF(Table13[[#This Row],[Zeit S&amp;R]]&gt;0,_xlfn.RANK.EQ(Table13[[#This Row],[Gesamt S&amp;R]],Table13[Gesamt S&amp;R],0)," ")</f>
        <v>4</v>
      </c>
      <c r="AB15" s="14"/>
      <c r="AC15" s="15" t="str">
        <f>IF(Table13[[#This Row],[Zeit LC]]&gt;0,_xlfn.RANK.EQ(Table13[[#This Row],[Punkte LC]],Table13[Punkte LC],0)," ")</f>
        <v xml:space="preserve"> </v>
      </c>
      <c r="AD15" s="10">
        <f>IF(Table13[[#This Row],[Zeit LC]]&gt;0,MIN(Table13[Zeit LC])/Table13[[#This Row],[Zeit LC]]*1000,0)</f>
        <v>0</v>
      </c>
      <c r="AE15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15" s="10">
        <f>(Table13[[#This Row],[Punkte LC]]+Table13[[#This Row],[Bonus LC]])</f>
        <v>0</v>
      </c>
      <c r="AG15" s="15" t="str">
        <f>IF(Table13[[#This Row],[Zeit LC]]&gt;0,_xlfn.RANK.EQ(Table13[[#This Row],[Gesamt LC]],Table13[Gesamt LC],0)," ")</f>
        <v xml:space="preserve"> </v>
      </c>
      <c r="AH15" s="23">
        <f>MAX( Z15,AF15)</f>
        <v>943.26750448833025</v>
      </c>
      <c r="AI15" s="14"/>
      <c r="AJ15" s="12" t="str">
        <f>IF(Table13[[#This Row],[Zeit BZF]]&gt;0,_xlfn.RANK.EQ(Table13[[#This Row],[Punkte BZF]],Table13[Punkte BZF],0)," ")</f>
        <v xml:space="preserve"> </v>
      </c>
      <c r="AK15" s="10">
        <f>IF(Table13[[#This Row],[Zeit BZF]]&gt;0,MIN(Table13[Zeit BZF])/Table13[[#This Row],[Zeit BZF]]*1000,0)</f>
        <v>0</v>
      </c>
      <c r="AL15" s="8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15" s="10">
        <f>(Table13[[#This Row],[Punkte BZF]]+Table13[[#This Row],[Bonus BZF]])</f>
        <v>0</v>
      </c>
      <c r="AN15" s="15" t="str">
        <f>IF(Table13[[#This Row],[Zeit BZF]]&gt;0,_xlfn.RANK.EQ(Table13[[#This Row],[Gesamt BZF]],Table13[Gesamt BZF],0)," ")</f>
        <v xml:space="preserve"> </v>
      </c>
      <c r="AO15" s="14"/>
      <c r="AP15" s="12" t="str">
        <f>IF(Table13[[#This Row],[Zeit EZF]]&gt;0,_xlfn.RANK.EQ(Table13[[#This Row],[Punkte EZF]],Table13[Punkte EZF],0)," ")</f>
        <v xml:space="preserve"> </v>
      </c>
      <c r="AQ15" s="10">
        <f>IF(Table13[[#This Row],[Zeit EZF]]&gt;0,MIN(Table13[Zeit EZF])/Table13[[#This Row],[Zeit EZF]]*1000,0)</f>
        <v>0</v>
      </c>
      <c r="AR15" s="8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15" s="10">
        <f>(Table13[[#This Row],[Punkte EZF]]+Table13[[#This Row],[Bonus EZF]])</f>
        <v>0</v>
      </c>
      <c r="AT15" s="15" t="str">
        <f>IF(Table13[[#This Row],[Zeit EZF]]&gt;0,_xlfn.RANK.EQ(Table13[[#This Row],[Gesamt EZF]],Table13[Gesamt EZF],0)," ")</f>
        <v xml:space="preserve"> </v>
      </c>
      <c r="AU15" s="26">
        <f t="shared" si="1"/>
        <v>0</v>
      </c>
    </row>
    <row r="16" spans="1:47" x14ac:dyDescent="0.25">
      <c r="A16" s="1" t="s">
        <v>105</v>
      </c>
      <c r="B16" s="1" t="s">
        <v>115</v>
      </c>
      <c r="C16" s="5"/>
      <c r="D16" s="5">
        <v>1973</v>
      </c>
      <c r="E16" s="6">
        <f>IF(Table13[[#This Row],[JG]],2024-Table13[[#This Row],[JG]],0)</f>
        <v>51</v>
      </c>
      <c r="F16" s="4" t="s">
        <v>34</v>
      </c>
      <c r="G16" s="49">
        <f t="shared" si="0"/>
        <v>1566.1079466279771</v>
      </c>
      <c r="H16" s="35">
        <f>_xlfn.RANK.EQ(Table13[[#This Row],[Gesamtpunkte]],Table13[Gesamtpunkte],0)</f>
        <v>14</v>
      </c>
      <c r="I16" s="14">
        <v>4.2164351851851856E-2</v>
      </c>
      <c r="J16" s="13">
        <f>IF(Table13[[#This Row],[Zeit LSC]]&gt;0,_xlfn.RANK.EQ(Table13[[#This Row],[Punkte LSC]],Table13[Punkte LSC],0)," ")</f>
        <v>8</v>
      </c>
      <c r="K16" s="10">
        <f>IF(Table13[[#This Row],[Zeit LSC]]&gt;0,MIN(Table13[Zeit LSC])/Table13[[#This Row],[Zeit LSC]]*1000,0)</f>
        <v>717.54048860828993</v>
      </c>
      <c r="L16" s="11">
        <f>IF(Table13[[#This Row],[Zeit LSC]]&gt;0,SUM(IF(Table13[[#This Row],[Alter]]&gt;40,(Table13[[#This Row],[Alter]]-40)*4,0),IF(AND(Table13[[#This Row],[Alter]]&lt;20,Table13[[#This Row],[Alter]]&gt;0),(20-Table13[[#This Row],[Alter]])*10,0)),0)</f>
        <v>44</v>
      </c>
      <c r="M16" s="10">
        <f>(Table13[[#This Row],[Punkte LSC]]+Table13[[#This Row],[Bonus LSC]])</f>
        <v>761.54048860828993</v>
      </c>
      <c r="N16" s="15">
        <f>IF(Table13[[#This Row],[Zeit LSC]]&gt;0,_xlfn.RANK.EQ(Table13[[#This Row],[Gesamt LSC]],Table13[Gesamt LSC],0)," ")</f>
        <v>6</v>
      </c>
      <c r="O16" s="9"/>
      <c r="P16" s="5" t="str">
        <f>IF(Table13[[#This Row],[Zeit LKC]]&gt;0,_xlfn.RANK.EQ(Table13[[#This Row],[Punkte LKC]],Table13[Punkte LKC],0)," ")</f>
        <v xml:space="preserve"> </v>
      </c>
      <c r="Q16" s="16">
        <f>IF(Table13[[#This Row],[Zeit LKC]]&gt;0,MIN(Table13[Zeit LKC])/Table13[[#This Row],[Zeit LKC]]*1000,0)</f>
        <v>0</v>
      </c>
      <c r="R16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16" s="16">
        <f>(Table13[[#This Row],[Punkte LKC]]+Table13[[#This Row],[Bonus LKC]])</f>
        <v>0</v>
      </c>
      <c r="T16" s="18" t="str">
        <f>IF(Table13[[#This Row],[Zeit LKC]]&gt;0,_xlfn.RANK.EQ(Table13[[#This Row],[Gesamt LKC]],Table13[Gesamt LKC],0)," ")</f>
        <v xml:space="preserve"> </v>
      </c>
      <c r="U16" s="23">
        <f>MAX( S16,M16)</f>
        <v>761.54048860828993</v>
      </c>
      <c r="V16" s="14">
        <v>3.9976851851851854E-2</v>
      </c>
      <c r="W16" s="12">
        <f>IF(Table13[[#This Row],[Zeit S&amp;R]]&gt;0,_xlfn.RANK.EQ(Table13[[#This Row],[Punkte S&amp;R]],Table13[Punkte S&amp;R],0)," ")</f>
        <v>15</v>
      </c>
      <c r="X16" s="10">
        <f>IF(Table13[[#This Row],[Zeit S&amp;R]]&gt;0,MIN(Table13[Zeit S&amp;R])/Table13[[#This Row],[Zeit S&amp;R]]*1000,0)</f>
        <v>760.56745801968725</v>
      </c>
      <c r="Y16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44</v>
      </c>
      <c r="Z16" s="10">
        <f>(Table13[[#This Row],[Punkte S&amp;R]]+Table13[[#This Row],[Bonus S&amp;R]])</f>
        <v>804.56745801968725</v>
      </c>
      <c r="AA16" s="15">
        <f>IF(Table13[[#This Row],[Zeit S&amp;R]]&gt;0,_xlfn.RANK.EQ(Table13[[#This Row],[Gesamt S&amp;R]],Table13[Gesamt S&amp;R],0)," ")</f>
        <v>14</v>
      </c>
      <c r="AB16" s="14"/>
      <c r="AC16" s="15" t="str">
        <f>IF(Table13[[#This Row],[Zeit LC]]&gt;0,_xlfn.RANK.EQ(Table13[[#This Row],[Punkte LC]],Table13[Punkte LC],0)," ")</f>
        <v xml:space="preserve"> </v>
      </c>
      <c r="AD16" s="10">
        <f>IF(Table13[[#This Row],[Zeit LC]]&gt;0,MIN(Table13[Zeit LC])/Table13[[#This Row],[Zeit LC]]*1000,0)</f>
        <v>0</v>
      </c>
      <c r="AE16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16" s="10">
        <f>(Table13[[#This Row],[Punkte LC]]+Table13[[#This Row],[Bonus LC]])</f>
        <v>0</v>
      </c>
      <c r="AG16" s="15" t="str">
        <f>IF(Table13[[#This Row],[Zeit LC]]&gt;0,_xlfn.RANK.EQ(Table13[[#This Row],[Gesamt LC]],Table13[Gesamt LC],0)," ")</f>
        <v xml:space="preserve"> </v>
      </c>
      <c r="AH16" s="23">
        <f>MAX( Z16,AF16)</f>
        <v>804.56745801968725</v>
      </c>
      <c r="AI16" s="14"/>
      <c r="AJ16" s="12" t="str">
        <f>IF(Table13[[#This Row],[Zeit BZF]]&gt;0,_xlfn.RANK.EQ(Table13[[#This Row],[Punkte BZF]],Table13[Punkte BZF],0)," ")</f>
        <v xml:space="preserve"> </v>
      </c>
      <c r="AK16" s="10">
        <f>IF(Table13[[#This Row],[Zeit BZF]]&gt;0,MIN(Table13[Zeit BZF])/Table13[[#This Row],[Zeit BZF]]*1000,0)</f>
        <v>0</v>
      </c>
      <c r="AL16" s="8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16" s="10">
        <f>(Table13[[#This Row],[Punkte BZF]]+Table13[[#This Row],[Bonus BZF]])</f>
        <v>0</v>
      </c>
      <c r="AN16" s="15" t="str">
        <f>IF(Table13[[#This Row],[Zeit BZF]]&gt;0,_xlfn.RANK.EQ(Table13[[#This Row],[Gesamt BZF]],Table13[Gesamt BZF],0)," ")</f>
        <v xml:space="preserve"> </v>
      </c>
      <c r="AO16" s="14"/>
      <c r="AP16" s="12" t="str">
        <f>IF(Table13[[#This Row],[Zeit EZF]]&gt;0,_xlfn.RANK.EQ(Table13[[#This Row],[Punkte EZF]],Table13[Punkte EZF],0)," ")</f>
        <v xml:space="preserve"> </v>
      </c>
      <c r="AQ16" s="10">
        <f>IF(Table13[[#This Row],[Zeit EZF]]&gt;0,MIN(Table13[Zeit EZF])/Table13[[#This Row],[Zeit EZF]]*1000,0)</f>
        <v>0</v>
      </c>
      <c r="AR16" s="8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16" s="10">
        <f>(Table13[[#This Row],[Punkte EZF]]+Table13[[#This Row],[Bonus EZF]])</f>
        <v>0</v>
      </c>
      <c r="AT16" s="15" t="str">
        <f>IF(Table13[[#This Row],[Zeit EZF]]&gt;0,_xlfn.RANK.EQ(Table13[[#This Row],[Gesamt EZF]],Table13[Gesamt EZF],0)," ")</f>
        <v xml:space="preserve"> </v>
      </c>
      <c r="AU16" s="26">
        <f t="shared" si="1"/>
        <v>0</v>
      </c>
    </row>
    <row r="17" spans="1:47" x14ac:dyDescent="0.25">
      <c r="A17" s="1" t="s">
        <v>152</v>
      </c>
      <c r="B17" s="1" t="s">
        <v>123</v>
      </c>
      <c r="C17" s="5"/>
      <c r="D17" s="5">
        <v>1999</v>
      </c>
      <c r="E17" s="6">
        <f>IF(Table13[[#This Row],[JG]],2024-Table13[[#This Row],[JG]],0)</f>
        <v>25</v>
      </c>
      <c r="F17" s="4" t="s">
        <v>34</v>
      </c>
      <c r="G17" s="49">
        <f t="shared" si="0"/>
        <v>1507.5228686665596</v>
      </c>
      <c r="H17" s="35">
        <f>_xlfn.RANK.EQ(Table13[[#This Row],[Gesamtpunkte]],Table13[Gesamtpunkte],0)</f>
        <v>15</v>
      </c>
      <c r="I17" s="14"/>
      <c r="J17" s="13" t="str">
        <f>IF(Table13[[#This Row],[Zeit LSC]]&gt;0,_xlfn.RANK.EQ(Table13[[#This Row],[Punkte LSC]],Table13[Punkte LSC],0)," ")</f>
        <v xml:space="preserve"> </v>
      </c>
      <c r="K17" s="10">
        <f>IF(Table13[[#This Row],[Zeit LSC]]&gt;0,MIN(Table13[Zeit LSC])/Table13[[#This Row],[Zeit LSC]]*1000,0)</f>
        <v>0</v>
      </c>
      <c r="L17" s="1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17" s="10">
        <f>(Table13[[#This Row],[Punkte LSC]]+Table13[[#This Row],[Bonus LSC]])</f>
        <v>0</v>
      </c>
      <c r="N17" s="15" t="str">
        <f>IF(Table13[[#This Row],[Zeit LSC]]&gt;0,_xlfn.RANK.EQ(Table13[[#This Row],[Gesamt LSC]],Table13[Gesamt LSC],0)," ")</f>
        <v xml:space="preserve"> </v>
      </c>
      <c r="O17" s="9"/>
      <c r="P17" s="5" t="str">
        <f>IF(Table13[[#This Row],[Zeit LKC]]&gt;0,_xlfn.RANK.EQ(Table13[[#This Row],[Punkte LKC]],Table13[Punkte LKC],0)," ")</f>
        <v xml:space="preserve"> </v>
      </c>
      <c r="Q17" s="16">
        <f>IF(Table13[[#This Row],[Zeit LKC]]&gt;0,MIN(Table13[Zeit LKC])/Table13[[#This Row],[Zeit LKC]]*1000,0)</f>
        <v>0</v>
      </c>
      <c r="R17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17" s="16">
        <f>(Table13[[#This Row],[Punkte LKC]]+Table13[[#This Row],[Bonus LKC]])</f>
        <v>0</v>
      </c>
      <c r="T17" s="18" t="str">
        <f>IF(Table13[[#This Row],[Zeit LKC]]&gt;0,_xlfn.RANK.EQ(Table13[[#This Row],[Gesamt LKC]],Table13[Gesamt LKC],0)," ")</f>
        <v xml:space="preserve"> </v>
      </c>
      <c r="U17" s="23">
        <f>MAX( S17,M17)</f>
        <v>0</v>
      </c>
      <c r="V17" s="14">
        <v>4.3854166666666666E-2</v>
      </c>
      <c r="W17" s="12">
        <f>IF(Table13[[#This Row],[Zeit S&amp;R]]&gt;0,_xlfn.RANK.EQ(Table13[[#This Row],[Punkte S&amp;R]],Table13[Punkte S&amp;R],0)," ")</f>
        <v>20</v>
      </c>
      <c r="X17" s="10">
        <f>IF(Table13[[#This Row],[Zeit S&amp;R]]&gt;0,MIN(Table13[Zeit S&amp;R])/Table13[[#This Row],[Zeit S&amp;R]]*1000,0)</f>
        <v>693.32277645816828</v>
      </c>
      <c r="Y17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17" s="10">
        <f>(Table13[[#This Row],[Punkte S&amp;R]]+Table13[[#This Row],[Bonus S&amp;R]])</f>
        <v>693.32277645816828</v>
      </c>
      <c r="AA17" s="15">
        <f>IF(Table13[[#This Row],[Zeit S&amp;R]]&gt;0,_xlfn.RANK.EQ(Table13[[#This Row],[Gesamt S&amp;R]],Table13[Gesamt S&amp;R],0)," ")</f>
        <v>20</v>
      </c>
      <c r="AB17" s="14"/>
      <c r="AC17" s="15" t="str">
        <f>IF(Table13[[#This Row],[Zeit LC]]&gt;0,_xlfn.RANK.EQ(Table13[[#This Row],[Punkte LC]],Table13[Punkte LC],0)," ")</f>
        <v xml:space="preserve"> </v>
      </c>
      <c r="AD17" s="10">
        <f>IF(Table13[[#This Row],[Zeit LC]]&gt;0,MIN(Table13[Zeit LC])/Table13[[#This Row],[Zeit LC]]*1000,0)</f>
        <v>0</v>
      </c>
      <c r="AE17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17" s="10">
        <f>(Table13[[#This Row],[Punkte LC]]+Table13[[#This Row],[Bonus LC]])</f>
        <v>0</v>
      </c>
      <c r="AG17" s="15" t="str">
        <f>IF(Table13[[#This Row],[Zeit LC]]&gt;0,_xlfn.RANK.EQ(Table13[[#This Row],[Gesamt LC]],Table13[Gesamt LC],0)," ")</f>
        <v xml:space="preserve"> </v>
      </c>
      <c r="AH17" s="23">
        <f>MAX( Z17,AF17)</f>
        <v>693.32277645816828</v>
      </c>
      <c r="AI17" s="14"/>
      <c r="AJ17" s="12" t="str">
        <f>IF(Table13[[#This Row],[Zeit BZF]]&gt;0,_xlfn.RANK.EQ(Table13[[#This Row],[Punkte BZF]],Table13[Punkte BZF],0)," ")</f>
        <v xml:space="preserve"> </v>
      </c>
      <c r="AK17" s="10">
        <f>IF(Table13[[#This Row],[Zeit BZF]]&gt;0,MIN(Table13[Zeit BZF])/Table13[[#This Row],[Zeit BZF]]*1000,0)</f>
        <v>0</v>
      </c>
      <c r="AL17" s="8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17" s="10">
        <f>(Table13[[#This Row],[Punkte BZF]]+Table13[[#This Row],[Bonus BZF]])</f>
        <v>0</v>
      </c>
      <c r="AN17" s="15" t="str">
        <f>IF(Table13[[#This Row],[Zeit BZF]]&gt;0,_xlfn.RANK.EQ(Table13[[#This Row],[Gesamt BZF]],Table13[Gesamt BZF],0)," ")</f>
        <v xml:space="preserve"> </v>
      </c>
      <c r="AO17" s="14">
        <v>2.5104166666666664E-2</v>
      </c>
      <c r="AP17" s="12">
        <f>IF(Table13[[#This Row],[Zeit EZF]]&gt;0,_xlfn.RANK.EQ(Table13[[#This Row],[Punkte EZF]],Table13[Punkte EZF],0)," ")</f>
        <v>19</v>
      </c>
      <c r="AQ17" s="10">
        <f>IF(Table13[[#This Row],[Zeit EZF]]&gt;0,MIN(Table13[Zeit EZF])/Table13[[#This Row],[Zeit EZF]]*1000,0)</f>
        <v>814.2000922083912</v>
      </c>
      <c r="AR17" s="8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17" s="10">
        <f>(Table13[[#This Row],[Punkte EZF]]+Table13[[#This Row],[Bonus EZF]])</f>
        <v>814.2000922083912</v>
      </c>
      <c r="AT17" s="15">
        <f>IF(Table13[[#This Row],[Zeit EZF]]&gt;0,_xlfn.RANK.EQ(Table13[[#This Row],[Gesamt EZF]],Table13[Gesamt EZF],0)," ")</f>
        <v>19</v>
      </c>
      <c r="AU17" s="26">
        <f t="shared" si="1"/>
        <v>814.2000922083912</v>
      </c>
    </row>
    <row r="18" spans="1:47" x14ac:dyDescent="0.25">
      <c r="A18" s="1" t="s">
        <v>116</v>
      </c>
      <c r="B18" s="1" t="s">
        <v>117</v>
      </c>
      <c r="C18" s="5"/>
      <c r="D18" s="5">
        <v>1980</v>
      </c>
      <c r="E18" s="6">
        <f>IF(Table13[[#This Row],[JG]],2024-Table13[[#This Row],[JG]],0)</f>
        <v>44</v>
      </c>
      <c r="F18" s="5"/>
      <c r="G18" s="49">
        <f t="shared" si="0"/>
        <v>1456.6925188682171</v>
      </c>
      <c r="H18" s="35">
        <f>_xlfn.RANK.EQ(Table13[[#This Row],[Gesamtpunkte]],Table13[Gesamtpunkte],0)</f>
        <v>16</v>
      </c>
      <c r="I18" s="14"/>
      <c r="J18" s="20" t="str">
        <f>IF(Table13[[#This Row],[Zeit LSC]]&gt;0,_xlfn.RANK.EQ(Table13[[#This Row],[Punkte LSC]],Table13[Punkte LSC],0)," ")</f>
        <v xml:space="preserve"> </v>
      </c>
      <c r="K18" s="10">
        <f>IF(Table13[[#This Row],[Zeit LSC]]&gt;0,MIN(Table13[Zeit LSC])/Table13[[#This Row],[Zeit LSC]]*1000,0)</f>
        <v>0</v>
      </c>
      <c r="L18" s="1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18" s="10">
        <f>(Table13[[#This Row],[Punkte LSC]]+Table13[[#This Row],[Bonus LSC]])</f>
        <v>0</v>
      </c>
      <c r="N18" s="21" t="str">
        <f>IF(Table13[[#This Row],[Zeit LSC]]&gt;0,_xlfn.RANK.EQ(Table13[[#This Row],[Gesamt LSC]],Table13[Gesamt LSC],0)," ")</f>
        <v xml:space="preserve"> </v>
      </c>
      <c r="O18" s="14">
        <v>2.3564814814814813E-2</v>
      </c>
      <c r="P18" s="6">
        <f>IF(Table13[[#This Row],[Zeit LKC]]&gt;0,_xlfn.RANK.EQ(Table13[[#This Row],[Punkte LKC]],Table13[Punkte LKC],0)," ")</f>
        <v>7</v>
      </c>
      <c r="Q18" s="16">
        <f>IF(Table13[[#This Row],[Zeit LKC]]&gt;0,MIN(Table13[Zeit LKC])/Table13[[#This Row],[Zeit LKC]]*1000,0)</f>
        <v>525.04911591355608</v>
      </c>
      <c r="R18" s="19">
        <f>IF(Table13[[#This Row],[Zeit LKC]]&gt;0,SUM(IF(Table13[[#This Row],[Alter]]&gt;40,(Table13[[#This Row],[Alter]]-40)*4,0),IF(AND(Table13[[#This Row],[Alter]]&lt;20,Table13[[#This Row],[Alter]]&gt;0),(20-Table13[[#This Row],[Alter]])*10,0)),0)</f>
        <v>16</v>
      </c>
      <c r="S18" s="19">
        <f>(Table13[[#This Row],[Punkte LKC]]+Table13[[#This Row],[Bonus LKC]])</f>
        <v>541.04911591355608</v>
      </c>
      <c r="T18" s="25">
        <f>IF(Table13[[#This Row],[Zeit LKC]]&gt;0,_xlfn.RANK.EQ(Table13[[#This Row],[Gesamt LKC]],Table13[Gesamt LKC],0)," ")</f>
        <v>6</v>
      </c>
      <c r="U18" s="23">
        <f>MAX( S18,M18)</f>
        <v>541.04911591355608</v>
      </c>
      <c r="V18" s="14"/>
      <c r="W18" s="12" t="str">
        <f>IF(Table13[[#This Row],[Zeit S&amp;R]]&gt;0,_xlfn.RANK.EQ(Table13[[#This Row],[Punkte S&amp;R]],Table13[Punkte S&amp;R],0)," ")</f>
        <v xml:space="preserve"> </v>
      </c>
      <c r="X18" s="10">
        <f>IF(Table13[[#This Row],[Zeit S&amp;R]]&gt;0,MIN(Table13[Zeit S&amp;R])/Table13[[#This Row],[Zeit S&amp;R]]*1000,0)</f>
        <v>0</v>
      </c>
      <c r="Y18" s="11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18" s="10">
        <f>(Table13[[#This Row],[Punkte S&amp;R]]+Table13[[#This Row],[Bonus S&amp;R]])</f>
        <v>0</v>
      </c>
      <c r="AA18" s="21" t="str">
        <f>IF(Table13[[#This Row],[Zeit S&amp;R]]&gt;0,_xlfn.RANK.EQ(Table13[[#This Row],[Gesamt S&amp;R]],Table13[Gesamt S&amp;R],0)," ")</f>
        <v xml:space="preserve"> </v>
      </c>
      <c r="AB18" s="14"/>
      <c r="AC18" s="21" t="str">
        <f>IF(Table13[[#This Row],[Zeit LC]]&gt;0,_xlfn.RANK.EQ(Table13[[#This Row],[Punkte LC]],Table13[Punkte LC],0)," ")</f>
        <v xml:space="preserve"> </v>
      </c>
      <c r="AD18" s="10">
        <f>IF(Table13[[#This Row],[Zeit LC]]&gt;0,MIN(Table13[Zeit LC])/Table13[[#This Row],[Zeit LC]]*1000,0)</f>
        <v>0</v>
      </c>
      <c r="AE18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18" s="10">
        <f>(Table13[[#This Row],[Punkte LC]]+Table13[[#This Row],[Bonus LC]])</f>
        <v>0</v>
      </c>
      <c r="AG18" s="21" t="str">
        <f>IF(Table13[[#This Row],[Zeit LC]]&gt;0,_xlfn.RANK.EQ(Table13[[#This Row],[Gesamt LC]],Table13[Gesamt LC],0)," ")</f>
        <v xml:space="preserve"> </v>
      </c>
      <c r="AH18" s="23">
        <f>MAX( Z18,AF18)</f>
        <v>0</v>
      </c>
      <c r="AI18" s="14"/>
      <c r="AJ18" s="12" t="str">
        <f>IF(Table13[[#This Row],[Zeit BZF]]&gt;0,_xlfn.RANK.EQ(Table13[[#This Row],[Punkte BZF]],Table13[Punkte BZF],0)," ")</f>
        <v xml:space="preserve"> </v>
      </c>
      <c r="AK18" s="10">
        <f>IF(Table13[[#This Row],[Zeit BZF]]&gt;0,MIN(Table13[Zeit BZF])/Table13[[#This Row],[Zeit BZF]]*1000,0)</f>
        <v>0</v>
      </c>
      <c r="AL18" s="11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18" s="10">
        <f>(Table13[[#This Row],[Punkte BZF]]+Table13[[#This Row],[Bonus BZF]])</f>
        <v>0</v>
      </c>
      <c r="AN18" s="21" t="str">
        <f>IF(Table13[[#This Row],[Zeit BZF]]&gt;0,_xlfn.RANK.EQ(Table13[[#This Row],[Gesamt BZF]],Table13[Gesamt BZF],0)," ")</f>
        <v xml:space="preserve"> </v>
      </c>
      <c r="AO18" s="14">
        <v>2.2719907407407411E-2</v>
      </c>
      <c r="AP18" s="12">
        <f>IF(Table13[[#This Row],[Zeit EZF]]&gt;0,_xlfn.RANK.EQ(Table13[[#This Row],[Punkte EZF]],Table13[Punkte EZF],0)," ")</f>
        <v>11</v>
      </c>
      <c r="AQ18" s="10">
        <f>IF(Table13[[#This Row],[Zeit EZF]]&gt;0,MIN(Table13[Zeit EZF])/Table13[[#This Row],[Zeit EZF]]*1000,0)</f>
        <v>899.64340295466116</v>
      </c>
      <c r="AR18" s="11">
        <f>IF(Table13[[#This Row],[Zeit EZF]]&gt;0,SUM(IF(Table13[[#This Row],[Alter]]&gt;40,(Table13[[#This Row],[Alter]]-40)*4,0),IF(AND(Table13[[#This Row],[Alter]]&lt;20,Table13[[#This Row],[Alter]]&gt;0),(20-Table13[[#This Row],[Alter]])*10,0)),0)</f>
        <v>16</v>
      </c>
      <c r="AS18" s="10">
        <f>(Table13[[#This Row],[Punkte EZF]]+Table13[[#This Row],[Bonus EZF]])</f>
        <v>915.64340295466116</v>
      </c>
      <c r="AT18" s="21">
        <f>IF(Table13[[#This Row],[Zeit EZF]]&gt;0,_xlfn.RANK.EQ(Table13[[#This Row],[Gesamt EZF]],Table13[Gesamt EZF],0)," ")</f>
        <v>7</v>
      </c>
      <c r="AU18" s="26">
        <f t="shared" si="1"/>
        <v>915.64340295466116</v>
      </c>
    </row>
    <row r="19" spans="1:47" x14ac:dyDescent="0.25">
      <c r="A19" s="1" t="s">
        <v>127</v>
      </c>
      <c r="B19" s="1" t="s">
        <v>128</v>
      </c>
      <c r="C19" s="5"/>
      <c r="D19" s="5">
        <v>1975</v>
      </c>
      <c r="E19" s="6">
        <f>IF(Table13[[#This Row],[JG]],2024-Table13[[#This Row],[JG]],0)</f>
        <v>49</v>
      </c>
      <c r="F19" s="5"/>
      <c r="G19" s="49">
        <f t="shared" si="0"/>
        <v>1426.4001009327076</v>
      </c>
      <c r="H19" s="35">
        <f>_xlfn.RANK.EQ(Table13[[#This Row],[Gesamtpunkte]],Table13[Gesamtpunkte],0)</f>
        <v>17</v>
      </c>
      <c r="I19" s="9">
        <v>5.1157407407407408E-2</v>
      </c>
      <c r="J19" s="36">
        <f>IF(Table13[[#This Row],[Zeit LSC]]&gt;0,_xlfn.RANK.EQ(Table13[[#This Row],[Punkte LSC]],Table13[Punkte LSC],0)," ")</f>
        <v>13</v>
      </c>
      <c r="K19" s="7">
        <f>IF(Table13[[#This Row],[Zeit LSC]]&gt;0,MIN(Table13[Zeit LSC])/Table13[[#This Row],[Zeit LSC]]*1000,0)</f>
        <v>591.40271493212674</v>
      </c>
      <c r="L19" s="8">
        <f>IF(Table13[[#This Row],[Zeit LSC]]&gt;0,SUM(IF(Table13[[#This Row],[Alter]]&gt;40,(Table13[[#This Row],[Alter]]-40)*4,0),IF(AND(Table13[[#This Row],[Alter]]&lt;20,Table13[[#This Row],[Alter]]&gt;0),(20-Table13[[#This Row],[Alter]])*10,0)),0)</f>
        <v>36</v>
      </c>
      <c r="M19" s="7">
        <f>(Table13[[#This Row],[Punkte LSC]]+Table13[[#This Row],[Bonus LSC]])</f>
        <v>627.40271493212674</v>
      </c>
      <c r="N19" s="15">
        <f>IF(Table13[[#This Row],[Zeit LSC]]&gt;0,_xlfn.RANK.EQ(Table13[[#This Row],[Gesamt LSC]],Table13[Gesamt LSC],0)," ")</f>
        <v>13</v>
      </c>
      <c r="O19" s="38"/>
      <c r="P19" s="37" t="str">
        <f>IF(Table13[[#This Row],[Zeit LKC]]&gt;0,_xlfn.RANK.EQ(Table13[[#This Row],[Punkte LKC]],Table13[Punkte LKC],0)," ")</f>
        <v xml:space="preserve"> </v>
      </c>
      <c r="Q19" s="16">
        <f>IF(Table13[[#This Row],[Zeit LKC]]&gt;0,MIN(Table13[Zeit LKC])/Table13[[#This Row],[Zeit LKC]]*1000,0)</f>
        <v>0</v>
      </c>
      <c r="R19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19" s="16">
        <f>(Table13[[#This Row],[Punkte LKC]]+Table13[[#This Row],[Bonus LKC]])</f>
        <v>0</v>
      </c>
      <c r="T19" s="18" t="str">
        <f>IF(Table13[[#This Row],[Zeit LKC]]&gt;0,_xlfn.RANK.EQ(Table13[[#This Row],[Gesamt LKC]],Table13[Gesamt LKC],0)," ")</f>
        <v xml:space="preserve"> </v>
      </c>
      <c r="U19" s="23">
        <f>MAX( S19,M19)</f>
        <v>627.40271493212674</v>
      </c>
      <c r="V19" s="14">
        <v>3.9849537037037037E-2</v>
      </c>
      <c r="W19" s="12">
        <f>IF(Table13[[#This Row],[Zeit S&amp;R]]&gt;0,_xlfn.RANK.EQ(Table13[[#This Row],[Punkte S&amp;R]],Table13[Punkte S&amp;R],0)," ")</f>
        <v>14</v>
      </c>
      <c r="X19" s="10">
        <f>IF(Table13[[#This Row],[Zeit S&amp;R]]&gt;0,MIN(Table13[Zeit S&amp;R])/Table13[[#This Row],[Zeit S&amp;R]]*1000,0)</f>
        <v>762.99738600058083</v>
      </c>
      <c r="Y19" s="11">
        <f>IF(Table13[[#This Row],[Zeit S&amp;R]]&gt;0,SUM(IF(Table13[[#This Row],[Alter]]&gt;40,(Table13[[#This Row],[Alter]]-40)*4,0),IF(AND(Table13[[#This Row],[Alter]]&lt;20,Table13[[#This Row],[Alter]]&gt;0),(20-Table13[[#This Row],[Alter]])*10,0)),0)</f>
        <v>36</v>
      </c>
      <c r="Z19" s="10">
        <f>(Table13[[#This Row],[Punkte S&amp;R]]+Table13[[#This Row],[Bonus S&amp;R]])</f>
        <v>798.99738600058083</v>
      </c>
      <c r="AA19" s="21">
        <f>IF(Table13[[#This Row],[Zeit S&amp;R]]&gt;0,_xlfn.RANK.EQ(Table13[[#This Row],[Gesamt S&amp;R]],Table13[Gesamt S&amp;R],0)," ")</f>
        <v>15</v>
      </c>
      <c r="AB19" s="14"/>
      <c r="AC19" s="21" t="str">
        <f>IF(Table13[[#This Row],[Zeit LC]]&gt;0,_xlfn.RANK.EQ(Table13[[#This Row],[Punkte LC]],Table13[Punkte LC],0)," ")</f>
        <v xml:space="preserve"> </v>
      </c>
      <c r="AD19" s="10">
        <f>IF(Table13[[#This Row],[Zeit LC]]&gt;0,MIN(Table13[Zeit LC])/Table13[[#This Row],[Zeit LC]]*1000,0)</f>
        <v>0</v>
      </c>
      <c r="AE19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19" s="10">
        <f>(Table13[[#This Row],[Punkte LC]]+Table13[[#This Row],[Bonus LC]])</f>
        <v>0</v>
      </c>
      <c r="AG19" s="21" t="str">
        <f>IF(Table13[[#This Row],[Zeit LC]]&gt;0,_xlfn.RANK.EQ(Table13[[#This Row],[Gesamt LC]],Table13[Gesamt LC],0)," ")</f>
        <v xml:space="preserve"> </v>
      </c>
      <c r="AH19" s="23">
        <f>MAX( Z19,AF19)</f>
        <v>798.99738600058083</v>
      </c>
      <c r="AI19" s="14"/>
      <c r="AJ19" s="12" t="str">
        <f>IF(Table13[[#This Row],[Zeit BZF]]&gt;0,_xlfn.RANK.EQ(Table13[[#This Row],[Punkte BZF]],Table13[Punkte BZF],0)," ")</f>
        <v xml:space="preserve"> </v>
      </c>
      <c r="AK19" s="10">
        <f>IF(Table13[[#This Row],[Zeit BZF]]&gt;0,MIN(Table13[Zeit BZF])/Table13[[#This Row],[Zeit BZF]]*1000,0)</f>
        <v>0</v>
      </c>
      <c r="AL19" s="11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19" s="10">
        <f>(Table13[[#This Row],[Punkte BZF]]+Table13[[#This Row],[Bonus BZF]])</f>
        <v>0</v>
      </c>
      <c r="AN19" s="21" t="str">
        <f>IF(Table13[[#This Row],[Zeit BZF]]&gt;0,_xlfn.RANK.EQ(Table13[[#This Row],[Gesamt BZF]],Table13[Gesamt BZF],0)," ")</f>
        <v xml:space="preserve"> </v>
      </c>
      <c r="AO19" s="14"/>
      <c r="AP19" s="12" t="str">
        <f>IF(Table13[[#This Row],[Zeit EZF]]&gt;0,_xlfn.RANK.EQ(Table13[[#This Row],[Punkte EZF]],Table13[Punkte EZF],0)," ")</f>
        <v xml:space="preserve"> </v>
      </c>
      <c r="AQ19" s="10">
        <f>IF(Table13[[#This Row],[Zeit EZF]]&gt;0,MIN(Table13[Zeit EZF])/Table13[[#This Row],[Zeit EZF]]*1000,0)</f>
        <v>0</v>
      </c>
      <c r="AR19" s="11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19" s="10">
        <f>(Table13[[#This Row],[Punkte EZF]]+Table13[[#This Row],[Bonus EZF]])</f>
        <v>0</v>
      </c>
      <c r="AT19" s="21" t="str">
        <f>IF(Table13[[#This Row],[Zeit EZF]]&gt;0,_xlfn.RANK.EQ(Table13[[#This Row],[Gesamt EZF]],Table13[Gesamt EZF],0)," ")</f>
        <v xml:space="preserve"> </v>
      </c>
      <c r="AU19" s="26">
        <f t="shared" si="1"/>
        <v>0</v>
      </c>
    </row>
    <row r="20" spans="1:47" x14ac:dyDescent="0.25">
      <c r="A20" s="1" t="s">
        <v>151</v>
      </c>
      <c r="B20" s="1" t="s">
        <v>100</v>
      </c>
      <c r="C20" s="5"/>
      <c r="D20" s="5">
        <v>1995</v>
      </c>
      <c r="E20" s="6">
        <f>IF(Table13[[#This Row],[JG]],2024-Table13[[#This Row],[JG]],0)</f>
        <v>29</v>
      </c>
      <c r="F20" s="4" t="s">
        <v>34</v>
      </c>
      <c r="G20" s="49">
        <f t="shared" si="0"/>
        <v>1424.5052350116712</v>
      </c>
      <c r="H20" s="35">
        <f>_xlfn.RANK.EQ(Table13[[#This Row],[Gesamtpunkte]],Table13[Gesamtpunkte],0)</f>
        <v>18</v>
      </c>
      <c r="I20" s="14"/>
      <c r="J20" s="13" t="str">
        <f>IF(Table13[[#This Row],[Zeit LSC]]&gt;0,_xlfn.RANK.EQ(Table13[[#This Row],[Punkte LSC]],Table13[Punkte LSC],0)," ")</f>
        <v xml:space="preserve"> </v>
      </c>
      <c r="K20" s="10">
        <f>IF(Table13[[#This Row],[Zeit LSC]]&gt;0,MIN(Table13[Zeit LSC])/Table13[[#This Row],[Zeit LSC]]*1000,0)</f>
        <v>0</v>
      </c>
      <c r="L20" s="1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20" s="10">
        <f>(Table13[[#This Row],[Punkte LSC]]+Table13[[#This Row],[Bonus LSC]])</f>
        <v>0</v>
      </c>
      <c r="N20" s="15" t="str">
        <f>IF(Table13[[#This Row],[Zeit LSC]]&gt;0,_xlfn.RANK.EQ(Table13[[#This Row],[Gesamt LSC]],Table13[Gesamt LSC],0)," ")</f>
        <v xml:space="preserve"> </v>
      </c>
      <c r="O20" s="9"/>
      <c r="P20" s="5" t="str">
        <f>IF(Table13[[#This Row],[Zeit LKC]]&gt;0,_xlfn.RANK.EQ(Table13[[#This Row],[Punkte LKC]],Table13[Punkte LKC],0)," ")</f>
        <v xml:space="preserve"> </v>
      </c>
      <c r="Q20" s="16">
        <f>IF(Table13[[#This Row],[Zeit LKC]]&gt;0,MIN(Table13[Zeit LKC])/Table13[[#This Row],[Zeit LKC]]*1000,0)</f>
        <v>0</v>
      </c>
      <c r="R20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20" s="16">
        <f>(Table13[[#This Row],[Punkte LKC]]+Table13[[#This Row],[Bonus LKC]])</f>
        <v>0</v>
      </c>
      <c r="T20" s="18" t="str">
        <f>IF(Table13[[#This Row],[Zeit LKC]]&gt;0,_xlfn.RANK.EQ(Table13[[#This Row],[Gesamt LKC]],Table13[Gesamt LKC],0)," ")</f>
        <v xml:space="preserve"> </v>
      </c>
      <c r="U20" s="23">
        <f>MAX( S20,M20)</f>
        <v>0</v>
      </c>
      <c r="V20" s="14">
        <v>4.2395833333333334E-2</v>
      </c>
      <c r="W20" s="12">
        <f>IF(Table13[[#This Row],[Zeit S&amp;R]]&gt;0,_xlfn.RANK.EQ(Table13[[#This Row],[Punkte S&amp;R]],Table13[Punkte S&amp;R],0)," ")</f>
        <v>18</v>
      </c>
      <c r="X20" s="10">
        <f>IF(Table13[[#This Row],[Zeit S&amp;R]]&gt;0,MIN(Table13[Zeit S&amp;R])/Table13[[#This Row],[Zeit S&amp;R]]*1000,0)</f>
        <v>717.17171717171709</v>
      </c>
      <c r="Y20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20" s="10">
        <f>(Table13[[#This Row],[Punkte S&amp;R]]+Table13[[#This Row],[Bonus S&amp;R]])</f>
        <v>717.17171717171709</v>
      </c>
      <c r="AA20" s="15">
        <f>IF(Table13[[#This Row],[Zeit S&amp;R]]&gt;0,_xlfn.RANK.EQ(Table13[[#This Row],[Gesamt S&amp;R]],Table13[Gesamt S&amp;R],0)," ")</f>
        <v>19</v>
      </c>
      <c r="AB20" s="14">
        <v>7.9513888888888884E-2</v>
      </c>
      <c r="AC20" s="15">
        <f>IF(Table13[[#This Row],[Zeit LC]]&gt;0,_xlfn.RANK.EQ(Table13[[#This Row],[Punkte LC]],Table13[Punkte LC],0)," ")</f>
        <v>7</v>
      </c>
      <c r="AD20" s="10">
        <f>IF(Table13[[#This Row],[Zeit LC]]&gt;0,MIN(Table13[Zeit LC])/Table13[[#This Row],[Zeit LC]]*1000,0)</f>
        <v>744.97816593886466</v>
      </c>
      <c r="AE20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20" s="10">
        <f>(Table13[[#This Row],[Punkte LC]]+Table13[[#This Row],[Bonus LC]])</f>
        <v>744.97816593886466</v>
      </c>
      <c r="AG20" s="15">
        <f>IF(Table13[[#This Row],[Zeit LC]]&gt;0,_xlfn.RANK.EQ(Table13[[#This Row],[Gesamt LC]],Table13[Gesamt LC],0)," ")</f>
        <v>7</v>
      </c>
      <c r="AH20" s="23">
        <f>MAX( Z20,AF20)</f>
        <v>744.97816593886466</v>
      </c>
      <c r="AI20" s="14">
        <v>1.8599537037037036E-2</v>
      </c>
      <c r="AJ20" s="12">
        <f>IF(Table13[[#This Row],[Zeit BZF]]&gt;0,_xlfn.RANK.EQ(Table13[[#This Row],[Punkte BZF]],Table13[Punkte BZF],0)," ")</f>
        <v>19</v>
      </c>
      <c r="AK20" s="10">
        <f>IF(Table13[[#This Row],[Zeit BZF]]&gt;0,MIN(Table13[Zeit BZF])/Table13[[#This Row],[Zeit BZF]]*1000,0)</f>
        <v>679.52706907280651</v>
      </c>
      <c r="AL20" s="8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20" s="10">
        <f>(Table13[[#This Row],[Punkte BZF]]+Table13[[#This Row],[Bonus BZF]])</f>
        <v>679.52706907280651</v>
      </c>
      <c r="AN20" s="15">
        <f>IF(Table13[[#This Row],[Zeit BZF]]&gt;0,_xlfn.RANK.EQ(Table13[[#This Row],[Gesamt BZF]],Table13[Gesamt BZF],0)," ")</f>
        <v>19</v>
      </c>
      <c r="AO20" s="14"/>
      <c r="AP20" s="12" t="str">
        <f>IF(Table13[[#This Row],[Zeit EZF]]&gt;0,_xlfn.RANK.EQ(Table13[[#This Row],[Punkte EZF]],Table13[Punkte EZF],0)," ")</f>
        <v xml:space="preserve"> </v>
      </c>
      <c r="AQ20" s="10">
        <f>IF(Table13[[#This Row],[Zeit EZF]]&gt;0,MIN(Table13[Zeit EZF])/Table13[[#This Row],[Zeit EZF]]*1000,0)</f>
        <v>0</v>
      </c>
      <c r="AR20" s="8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20" s="10">
        <f>(Table13[[#This Row],[Punkte EZF]]+Table13[[#This Row],[Bonus EZF]])</f>
        <v>0</v>
      </c>
      <c r="AT20" s="15" t="str">
        <f>IF(Table13[[#This Row],[Zeit EZF]]&gt;0,_xlfn.RANK.EQ(Table13[[#This Row],[Gesamt EZF]],Table13[Gesamt EZF],0)," ")</f>
        <v xml:space="preserve"> </v>
      </c>
      <c r="AU20" s="26">
        <f t="shared" si="1"/>
        <v>679.52706907280651</v>
      </c>
    </row>
    <row r="21" spans="1:47" x14ac:dyDescent="0.25">
      <c r="A21" s="1" t="s">
        <v>98</v>
      </c>
      <c r="B21" s="1" t="s">
        <v>99</v>
      </c>
      <c r="C21" s="4">
        <v>1</v>
      </c>
      <c r="D21" s="4">
        <v>1982</v>
      </c>
      <c r="E21" s="4">
        <f>IF(Table13[[#This Row],[JG]],2024-Table13[[#This Row],[JG]],0)</f>
        <v>42</v>
      </c>
      <c r="F21" s="4"/>
      <c r="G21" s="49">
        <f t="shared" si="0"/>
        <v>1008</v>
      </c>
      <c r="H21" s="35">
        <f>_xlfn.RANK.EQ(Table13[[#This Row],[Gesamtpunkte]],Table13[Gesamtpunkte],0)</f>
        <v>19</v>
      </c>
      <c r="I21" s="9">
        <v>3.3414351851851855E-2</v>
      </c>
      <c r="J21" s="13">
        <f>IF(Table13[[#This Row],[Zeit LSC]]&gt;0,_xlfn.RANK.EQ(Table13[[#This Row],[Punkte LSC]],Table13[Punkte LSC],0)," ")</f>
        <v>2</v>
      </c>
      <c r="K21" s="7">
        <f>IF(Table13[[#This Row],[Zeit LSC]]&gt;0,MIN(Table13[Zeit LSC])/Table13[[#This Row],[Zeit LSC]]*1000,0)</f>
        <v>905.43817111188082</v>
      </c>
      <c r="L21" s="8">
        <f>IF(Table13[[#This Row],[Zeit LSC]]&gt;0,SUM(IF(Table13[[#This Row],[Alter]]&gt;40,(Table13[[#This Row],[Alter]]-40)*4,0),IF(AND(Table13[[#This Row],[Alter]]&lt;20,Table13[[#This Row],[Alter]]&gt;0),(20-Table13[[#This Row],[Alter]])*10,0)),0)</f>
        <v>8</v>
      </c>
      <c r="M21" s="7">
        <f>(Table13[[#This Row],[Punkte LSC]]+Table13[[#This Row],[Bonus LSC]])</f>
        <v>913.43817111188082</v>
      </c>
      <c r="N21" s="15">
        <f>IF(Table13[[#This Row],[Zeit LSC]]&gt;0,_xlfn.RANK.EQ(Table13[[#This Row],[Gesamt LSC]],Table13[Gesamt LSC],0)," ")</f>
        <v>3</v>
      </c>
      <c r="O21" s="9">
        <v>1.2372685185185186E-2</v>
      </c>
      <c r="P21" s="4">
        <f>IF(Table13[[#This Row],[Zeit LKC]]&gt;0,_xlfn.RANK.EQ(Table13[[#This Row],[Punkte LKC]],Table13[Punkte LKC],0)," ")</f>
        <v>1</v>
      </c>
      <c r="Q21" s="16">
        <f>IF(Table13[[#This Row],[Zeit LKC]]&gt;0,MIN(Table13[Zeit LKC])/Table13[[#This Row],[Zeit LKC]]*1000,0)</f>
        <v>1000</v>
      </c>
      <c r="R21" s="17">
        <f>IF(Table13[[#This Row],[Zeit LKC]]&gt;0,SUM(IF(Table13[[#This Row],[Alter]]&gt;40,(Table13[[#This Row],[Alter]]-40)*4,0),IF(AND(Table13[[#This Row],[Alter]]&lt;20,Table13[[#This Row],[Alter]]&gt;0),(20-Table13[[#This Row],[Alter]])*10,0)),0)</f>
        <v>8</v>
      </c>
      <c r="S21" s="16">
        <f>(Table13[[#This Row],[Punkte LKC]]+Table13[[#This Row],[Bonus LKC]])</f>
        <v>1008</v>
      </c>
      <c r="T21" s="18">
        <f>IF(Table13[[#This Row],[Zeit LKC]]&gt;0,_xlfn.RANK.EQ(Table13[[#This Row],[Gesamt LKC]],Table13[Gesamt LKC],0)," ")</f>
        <v>2</v>
      </c>
      <c r="U21" s="23">
        <f>MAX( S21,M21)</f>
        <v>1008</v>
      </c>
      <c r="V21" s="9"/>
      <c r="W21" s="12" t="str">
        <f>IF(Table13[[#This Row],[Zeit S&amp;R]]&gt;0,_xlfn.RANK.EQ(Table13[[#This Row],[Punkte S&amp;R]],Table13[Punkte S&amp;R],0)," ")</f>
        <v xml:space="preserve"> </v>
      </c>
      <c r="X21" s="7">
        <f>IF(Table13[[#This Row],[Zeit S&amp;R]]&gt;0,MIN(Table13[Zeit S&amp;R])/Table13[[#This Row],[Zeit S&amp;R]]*1000,0)</f>
        <v>0</v>
      </c>
      <c r="Y21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21" s="7">
        <f>(Table13[[#This Row],[Punkte S&amp;R]]+Table13[[#This Row],[Bonus S&amp;R]])</f>
        <v>0</v>
      </c>
      <c r="AA21" s="15" t="str">
        <f>IF(Table13[[#This Row],[Zeit S&amp;R]]&gt;0,_xlfn.RANK.EQ(Table13[[#This Row],[Gesamt S&amp;R]],Table13[Gesamt S&amp;R],0)," ")</f>
        <v xml:space="preserve"> </v>
      </c>
      <c r="AB21" s="9"/>
      <c r="AC21" s="15" t="str">
        <f>IF(Table13[[#This Row],[Zeit LC]]&gt;0,_xlfn.RANK.EQ(Table13[[#This Row],[Punkte LC]],Table13[Punkte LC],0)," ")</f>
        <v xml:space="preserve"> </v>
      </c>
      <c r="AD21" s="7">
        <f>IF(Table13[[#This Row],[Zeit LC]]&gt;0,MIN(Table13[Zeit LC])/Table13[[#This Row],[Zeit LC]]*1000,0)</f>
        <v>0</v>
      </c>
      <c r="AE21" s="7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21" s="7">
        <f>(Table13[[#This Row],[Punkte LC]]+Table13[[#This Row],[Bonus LC]])</f>
        <v>0</v>
      </c>
      <c r="AG21" s="15" t="str">
        <f>IF(Table13[[#This Row],[Zeit LC]]&gt;0,_xlfn.RANK.EQ(Table13[[#This Row],[Gesamt LC]],Table13[Gesamt LC],0)," ")</f>
        <v xml:space="preserve"> </v>
      </c>
      <c r="AH21" s="23">
        <f>MAX( Z21,AF21)</f>
        <v>0</v>
      </c>
      <c r="AI21" s="9"/>
      <c r="AJ21" s="12" t="str">
        <f>IF(Table13[[#This Row],[Zeit BZF]]&gt;0,_xlfn.RANK.EQ(Table13[[#This Row],[Punkte BZF]],Table13[Punkte BZF],0)," ")</f>
        <v xml:space="preserve"> </v>
      </c>
      <c r="AK21" s="10">
        <f>IF(Table13[[#This Row],[Zeit BZF]]&gt;0,MIN(Table13[Zeit BZF])/Table13[[#This Row],[Zeit BZF]]*1000,0)</f>
        <v>0</v>
      </c>
      <c r="AL21" s="8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21" s="7">
        <f>(Table13[[#This Row],[Punkte BZF]]+Table13[[#This Row],[Bonus BZF]])</f>
        <v>0</v>
      </c>
      <c r="AN21" s="15" t="str">
        <f>IF(Table13[[#This Row],[Zeit BZF]]&gt;0,_xlfn.RANK.EQ(Table13[[#This Row],[Gesamt BZF]],Table13[Gesamt BZF],0)," ")</f>
        <v xml:space="preserve"> </v>
      </c>
      <c r="AO21" s="9"/>
      <c r="AP21" s="12" t="str">
        <f>IF(Table13[[#This Row],[Zeit EZF]]&gt;0,_xlfn.RANK.EQ(Table13[[#This Row],[Punkte EZF]],Table13[Punkte EZF],0)," ")</f>
        <v xml:space="preserve"> </v>
      </c>
      <c r="AQ21" s="10">
        <f>IF(Table13[[#This Row],[Zeit EZF]]&gt;0,MIN(Table13[Zeit EZF])/Table13[[#This Row],[Zeit EZF]]*1000,0)</f>
        <v>0</v>
      </c>
      <c r="AR21" s="8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21" s="7">
        <f>(Table13[[#This Row],[Punkte EZF]]+Table13[[#This Row],[Bonus EZF]])</f>
        <v>0</v>
      </c>
      <c r="AT21" s="15" t="str">
        <f>IF(Table13[[#This Row],[Zeit EZF]]&gt;0,_xlfn.RANK.EQ(Table13[[#This Row],[Gesamt EZF]],Table13[Gesamt EZF],0)," ")</f>
        <v xml:space="preserve"> </v>
      </c>
      <c r="AU21" s="26">
        <f t="shared" si="1"/>
        <v>0</v>
      </c>
    </row>
    <row r="22" spans="1:47" x14ac:dyDescent="0.25">
      <c r="A22" s="1" t="s">
        <v>95</v>
      </c>
      <c r="B22" s="1" t="s">
        <v>96</v>
      </c>
      <c r="C22" s="5"/>
      <c r="D22" s="5">
        <v>1970</v>
      </c>
      <c r="E22" s="6">
        <f>IF(Table13[[#This Row],[JG]],2024-Table13[[#This Row],[JG]],0)</f>
        <v>54</v>
      </c>
      <c r="F22" s="4" t="s">
        <v>34</v>
      </c>
      <c r="G22" s="49">
        <f t="shared" si="0"/>
        <v>1000.8903156768326</v>
      </c>
      <c r="H22" s="35">
        <f>_xlfn.RANK.EQ(Table13[[#This Row],[Gesamtpunkte]],Table13[Gesamtpunkte],0)</f>
        <v>20</v>
      </c>
      <c r="I22" s="14"/>
      <c r="J22" s="13" t="str">
        <f>IF(Table13[[#This Row],[Zeit LSC]]&gt;0,_xlfn.RANK.EQ(Table13[[#This Row],[Punkte LSC]],Table13[Punkte LSC],0)," ")</f>
        <v xml:space="preserve"> </v>
      </c>
      <c r="K22" s="10">
        <f>IF(Table13[[#This Row],[Zeit LSC]]&gt;0,MIN(Table13[Zeit LSC])/Table13[[#This Row],[Zeit LSC]]*1000,0)</f>
        <v>0</v>
      </c>
      <c r="L22" s="1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22" s="10">
        <f>(Table13[[#This Row],[Punkte LSC]]+Table13[[#This Row],[Bonus LSC]])</f>
        <v>0</v>
      </c>
      <c r="N22" s="15" t="str">
        <f>IF(Table13[[#This Row],[Zeit LSC]]&gt;0,_xlfn.RANK.EQ(Table13[[#This Row],[Gesamt LSC]],Table13[Gesamt LSC],0)," ")</f>
        <v xml:space="preserve"> </v>
      </c>
      <c r="O22" s="9"/>
      <c r="P22" s="5" t="str">
        <f>IF(Table13[[#This Row],[Zeit LKC]]&gt;0,_xlfn.RANK.EQ(Table13[[#This Row],[Punkte LKC]],Table13[Punkte LKC],0)," ")</f>
        <v xml:space="preserve"> </v>
      </c>
      <c r="Q22" s="16">
        <f>IF(Table13[[#This Row],[Zeit LKC]]&gt;0,MIN(Table13[Zeit LKC])/Table13[[#This Row],[Zeit LKC]]*1000,0)</f>
        <v>0</v>
      </c>
      <c r="R22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22" s="16">
        <f>(Table13[[#This Row],[Punkte LKC]]+Table13[[#This Row],[Bonus LKC]])</f>
        <v>0</v>
      </c>
      <c r="T22" s="18" t="str">
        <f>IF(Table13[[#This Row],[Zeit LKC]]&gt;0,_xlfn.RANK.EQ(Table13[[#This Row],[Gesamt LKC]],Table13[Gesamt LKC],0)," ")</f>
        <v xml:space="preserve"> </v>
      </c>
      <c r="U22" s="23">
        <f>MAX( S22,M22)</f>
        <v>0</v>
      </c>
      <c r="V22" s="14"/>
      <c r="W22" s="12" t="str">
        <f>IF(Table13[[#This Row],[Zeit S&amp;R]]&gt;0,_xlfn.RANK.EQ(Table13[[#This Row],[Punkte S&amp;R]],Table13[Punkte S&amp;R],0)," ")</f>
        <v xml:space="preserve"> </v>
      </c>
      <c r="X22" s="10">
        <f>IF(Table13[[#This Row],[Zeit S&amp;R]]&gt;0,MIN(Table13[Zeit S&amp;R])/Table13[[#This Row],[Zeit S&amp;R]]*1000,0)</f>
        <v>0</v>
      </c>
      <c r="Y22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22" s="10">
        <f>(Table13[[#This Row],[Punkte S&amp;R]]+Table13[[#This Row],[Bonus S&amp;R]])</f>
        <v>0</v>
      </c>
      <c r="AA22" s="15" t="str">
        <f>IF(Table13[[#This Row],[Zeit S&amp;R]]&gt;0,_xlfn.RANK.EQ(Table13[[#This Row],[Gesamt S&amp;R]],Table13[Gesamt S&amp;R],0)," ")</f>
        <v xml:space="preserve"> </v>
      </c>
      <c r="AB22" s="14"/>
      <c r="AC22" s="15" t="str">
        <f>IF(Table13[[#This Row],[Zeit LC]]&gt;0,_xlfn.RANK.EQ(Table13[[#This Row],[Punkte LC]],Table13[Punkte LC],0)," ")</f>
        <v xml:space="preserve"> </v>
      </c>
      <c r="AD22" s="10">
        <f>IF(Table13[[#This Row],[Zeit LC]]&gt;0,MIN(Table13[Zeit LC])/Table13[[#This Row],[Zeit LC]]*1000,0)</f>
        <v>0</v>
      </c>
      <c r="AE22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22" s="10">
        <f>(Table13[[#This Row],[Punkte LC]]+Table13[[#This Row],[Bonus LC]])</f>
        <v>0</v>
      </c>
      <c r="AG22" s="15" t="str">
        <f>IF(Table13[[#This Row],[Zeit LC]]&gt;0,_xlfn.RANK.EQ(Table13[[#This Row],[Gesamt LC]],Table13[Gesamt LC],0)," ")</f>
        <v xml:space="preserve"> </v>
      </c>
      <c r="AH22" s="23">
        <f>MAX( Z22,AF22)</f>
        <v>0</v>
      </c>
      <c r="AI22" s="14"/>
      <c r="AJ22" s="12" t="str">
        <f>IF(Table13[[#This Row],[Zeit BZF]]&gt;0,_xlfn.RANK.EQ(Table13[[#This Row],[Punkte BZF]],Table13[Punkte BZF],0)," ")</f>
        <v xml:space="preserve"> </v>
      </c>
      <c r="AK22" s="10">
        <f>IF(Table13[[#This Row],[Zeit BZF]]&gt;0,MIN(Table13[Zeit BZF])/Table13[[#This Row],[Zeit BZF]]*1000,0)</f>
        <v>0</v>
      </c>
      <c r="AL22" s="8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22" s="10">
        <f>(Table13[[#This Row],[Punkte BZF]]+Table13[[#This Row],[Bonus BZF]])</f>
        <v>0</v>
      </c>
      <c r="AN22" s="15" t="str">
        <f>IF(Table13[[#This Row],[Zeit BZF]]&gt;0,_xlfn.RANK.EQ(Table13[[#This Row],[Gesamt BZF]],Table13[Gesamt BZF],0)," ")</f>
        <v xml:space="preserve"> </v>
      </c>
      <c r="AO22" s="14">
        <v>2.1631944444444443E-2</v>
      </c>
      <c r="AP22" s="12">
        <f>IF(Table13[[#This Row],[Zeit EZF]]&gt;0,_xlfn.RANK.EQ(Table13[[#This Row],[Punkte EZF]],Table13[Punkte EZF],0)," ")</f>
        <v>3</v>
      </c>
      <c r="AQ22" s="10">
        <f>IF(Table13[[#This Row],[Zeit EZF]]&gt;0,MIN(Table13[Zeit EZF])/Table13[[#This Row],[Zeit EZF]]*1000,0)</f>
        <v>944.89031567683264</v>
      </c>
      <c r="AR22" s="8">
        <f>IF(Table13[[#This Row],[Zeit EZF]]&gt;0,SUM(IF(Table13[[#This Row],[Alter]]&gt;40,(Table13[[#This Row],[Alter]]-40)*4,0),IF(AND(Table13[[#This Row],[Alter]]&lt;20,Table13[[#This Row],[Alter]]&gt;0),(20-Table13[[#This Row],[Alter]])*10,0)),0)</f>
        <v>56</v>
      </c>
      <c r="AS22" s="10">
        <f>(Table13[[#This Row],[Punkte EZF]]+Table13[[#This Row],[Bonus EZF]])</f>
        <v>1000.8903156768326</v>
      </c>
      <c r="AT22" s="15">
        <f>IF(Table13[[#This Row],[Zeit EZF]]&gt;0,_xlfn.RANK.EQ(Table13[[#This Row],[Gesamt EZF]],Table13[Gesamt EZF],0)," ")</f>
        <v>2</v>
      </c>
      <c r="AU22" s="26">
        <f t="shared" si="1"/>
        <v>1000.8903156768326</v>
      </c>
    </row>
    <row r="23" spans="1:47" x14ac:dyDescent="0.25">
      <c r="A23" s="27" t="s">
        <v>59</v>
      </c>
      <c r="B23" s="27" t="s">
        <v>60</v>
      </c>
      <c r="C23" s="5"/>
      <c r="D23" s="5">
        <v>1992</v>
      </c>
      <c r="E23" s="6">
        <f>IF(Table13[[#This Row],[JG]],2024-Table13[[#This Row],[JG]],0)</f>
        <v>32</v>
      </c>
      <c r="F23" s="5"/>
      <c r="G23" s="49">
        <f t="shared" si="0"/>
        <v>1000</v>
      </c>
      <c r="H23" s="35">
        <f>_xlfn.RANK.EQ(Table13[[#This Row],[Gesamtpunkte]],Table13[Gesamtpunkte],0)</f>
        <v>21</v>
      </c>
      <c r="I23" s="9">
        <v>3.0254629629629631E-2</v>
      </c>
      <c r="J23" s="20">
        <f>IF(Table13[[#This Row],[Zeit LSC]]&gt;0,_xlfn.RANK.EQ(Table13[[#This Row],[Punkte LSC]],Table13[Punkte LSC],0)," ")</f>
        <v>1</v>
      </c>
      <c r="K23" s="10">
        <f>IF(Table13[[#This Row],[Zeit LSC]]&gt;0,MIN(Table13[Zeit LSC])/Table13[[#This Row],[Zeit LSC]]*1000,0)</f>
        <v>1000</v>
      </c>
      <c r="L23" s="1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23" s="10">
        <f>(Table13[[#This Row],[Punkte LSC]]+Table13[[#This Row],[Bonus LSC]])</f>
        <v>1000</v>
      </c>
      <c r="N23" s="21">
        <f>IF(Table13[[#This Row],[Zeit LSC]]&gt;0,_xlfn.RANK.EQ(Table13[[#This Row],[Gesamt LSC]],Table13[Gesamt LSC],0)," ")</f>
        <v>1</v>
      </c>
      <c r="O23" s="14"/>
      <c r="P23" s="6" t="str">
        <f>IF(Table13[[#This Row],[Zeit LKC]]&gt;0,_xlfn.RANK.EQ(Table13[[#This Row],[Punkte LKC]],Table13[Punkte LKC],0)," ")</f>
        <v xml:space="preserve"> </v>
      </c>
      <c r="Q23" s="16">
        <f>IF(Table13[[#This Row],[Zeit LKC]]&gt;0,MIN(Table13[Zeit LKC])/Table13[[#This Row],[Zeit LKC]]*1000,0)</f>
        <v>0</v>
      </c>
      <c r="R23" s="19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23" s="19">
        <f>(Table13[[#This Row],[Punkte LKC]]+Table13[[#This Row],[Bonus LKC]])</f>
        <v>0</v>
      </c>
      <c r="T23" s="25" t="str">
        <f>IF(Table13[[#This Row],[Zeit LKC]]&gt;0,_xlfn.RANK.EQ(Table13[[#This Row],[Gesamt LKC]],Table13[Gesamt LKC],0)," ")</f>
        <v xml:space="preserve"> </v>
      </c>
      <c r="U23" s="23">
        <f>MAX( S23,M23)</f>
        <v>1000</v>
      </c>
      <c r="V23" s="14"/>
      <c r="W23" s="12" t="str">
        <f>IF(Table13[[#This Row],[Zeit S&amp;R]]&gt;0,_xlfn.RANK.EQ(Table13[[#This Row],[Punkte S&amp;R]],Table13[Punkte S&amp;R],0)," ")</f>
        <v xml:space="preserve"> </v>
      </c>
      <c r="X23" s="10">
        <f>IF(Table13[[#This Row],[Zeit S&amp;R]]&gt;0,MIN(Table13[Zeit S&amp;R])/Table13[[#This Row],[Zeit S&amp;R]]*1000,0)</f>
        <v>0</v>
      </c>
      <c r="Y23" s="11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23" s="10">
        <f>(Table13[[#This Row],[Punkte S&amp;R]]+Table13[[#This Row],[Bonus S&amp;R]])</f>
        <v>0</v>
      </c>
      <c r="AA23" s="21" t="str">
        <f>IF(Table13[[#This Row],[Zeit S&amp;R]]&gt;0,_xlfn.RANK.EQ(Table13[[#This Row],[Gesamt S&amp;R]],Table13[Gesamt S&amp;R],0)," ")</f>
        <v xml:space="preserve"> </v>
      </c>
      <c r="AB23" s="14"/>
      <c r="AC23" s="21" t="str">
        <f>IF(Table13[[#This Row],[Zeit LC]]&gt;0,_xlfn.RANK.EQ(Table13[[#This Row],[Punkte LC]],Table13[Punkte LC],0)," ")</f>
        <v xml:space="preserve"> </v>
      </c>
      <c r="AD23" s="10">
        <f>IF(Table13[[#This Row],[Zeit LC]]&gt;0,MIN(Table13[Zeit LC])/Table13[[#This Row],[Zeit LC]]*1000,0)</f>
        <v>0</v>
      </c>
      <c r="AE23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23" s="10">
        <f>(Table13[[#This Row],[Punkte LC]]+Table13[[#This Row],[Bonus LC]])</f>
        <v>0</v>
      </c>
      <c r="AG23" s="21" t="str">
        <f>IF(Table13[[#This Row],[Zeit LC]]&gt;0,_xlfn.RANK.EQ(Table13[[#This Row],[Gesamt LC]],Table13[Gesamt LC],0)," ")</f>
        <v xml:space="preserve"> </v>
      </c>
      <c r="AH23" s="23">
        <f>MAX( Z23,AF23)</f>
        <v>0</v>
      </c>
      <c r="AI23" s="14"/>
      <c r="AJ23" s="12" t="str">
        <f>IF(Table13[[#This Row],[Zeit BZF]]&gt;0,_xlfn.RANK.EQ(Table13[[#This Row],[Punkte BZF]],Table13[Punkte BZF],0)," ")</f>
        <v xml:space="preserve"> </v>
      </c>
      <c r="AK23" s="10">
        <f>IF(Table13[[#This Row],[Zeit BZF]]&gt;0,MIN(Table13[Zeit BZF])/Table13[[#This Row],[Zeit BZF]]*1000,0)</f>
        <v>0</v>
      </c>
      <c r="AL23" s="11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23" s="10">
        <f>(Table13[[#This Row],[Punkte BZF]]+Table13[[#This Row],[Bonus BZF]])</f>
        <v>0</v>
      </c>
      <c r="AN23" s="21" t="str">
        <f>IF(Table13[[#This Row],[Zeit BZF]]&gt;0,_xlfn.RANK.EQ(Table13[[#This Row],[Gesamt BZF]],Table13[Gesamt BZF],0)," ")</f>
        <v xml:space="preserve"> </v>
      </c>
      <c r="AO23" s="14"/>
      <c r="AP23" s="12" t="str">
        <f>IF(Table13[[#This Row],[Zeit EZF]]&gt;0,_xlfn.RANK.EQ(Table13[[#This Row],[Punkte EZF]],Table13[Punkte EZF],0)," ")</f>
        <v xml:space="preserve"> </v>
      </c>
      <c r="AQ23" s="10">
        <f>IF(Table13[[#This Row],[Zeit EZF]]&gt;0,MIN(Table13[Zeit EZF])/Table13[[#This Row],[Zeit EZF]]*1000,0)</f>
        <v>0</v>
      </c>
      <c r="AR23" s="11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23" s="10">
        <f>(Table13[[#This Row],[Punkte EZF]]+Table13[[#This Row],[Bonus EZF]])</f>
        <v>0</v>
      </c>
      <c r="AT23" s="21" t="str">
        <f>IF(Table13[[#This Row],[Zeit EZF]]&gt;0,_xlfn.RANK.EQ(Table13[[#This Row],[Gesamt EZF]],Table13[Gesamt EZF],0)," ")</f>
        <v xml:space="preserve"> </v>
      </c>
      <c r="AU23" s="26">
        <f t="shared" si="1"/>
        <v>0</v>
      </c>
    </row>
    <row r="24" spans="1:47" x14ac:dyDescent="0.25">
      <c r="A24" s="1" t="s">
        <v>145</v>
      </c>
      <c r="B24" s="1" t="s">
        <v>146</v>
      </c>
      <c r="C24" s="5"/>
      <c r="D24" s="5">
        <v>1993</v>
      </c>
      <c r="E24" s="6">
        <f>IF(Table13[[#This Row],[JG]],2024-Table13[[#This Row],[JG]],0)</f>
        <v>31</v>
      </c>
      <c r="F24" s="4" t="s">
        <v>34</v>
      </c>
      <c r="G24" s="49">
        <f t="shared" si="0"/>
        <v>1000</v>
      </c>
      <c r="H24" s="35">
        <f>_xlfn.RANK.EQ(Table13[[#This Row],[Gesamtpunkte]],Table13[Gesamtpunkte],0)</f>
        <v>21</v>
      </c>
      <c r="I24" s="14"/>
      <c r="J24" s="13" t="str">
        <f>IF(Table13[[#This Row],[Zeit LSC]]&gt;0,_xlfn.RANK.EQ(Table13[[#This Row],[Punkte LSC]],Table13[Punkte LSC],0)," ")</f>
        <v xml:space="preserve"> </v>
      </c>
      <c r="K24" s="10">
        <f>IF(Table13[[#This Row],[Zeit LSC]]&gt;0,MIN(Table13[Zeit LSC])/Table13[[#This Row],[Zeit LSC]]*1000,0)</f>
        <v>0</v>
      </c>
      <c r="L24" s="1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24" s="10">
        <f>(Table13[[#This Row],[Punkte LSC]]+Table13[[#This Row],[Bonus LSC]])</f>
        <v>0</v>
      </c>
      <c r="N24" s="15" t="str">
        <f>IF(Table13[[#This Row],[Zeit LSC]]&gt;0,_xlfn.RANK.EQ(Table13[[#This Row],[Gesamt LSC]],Table13[Gesamt LSC],0)," ")</f>
        <v xml:space="preserve"> </v>
      </c>
      <c r="O24" s="9"/>
      <c r="P24" s="5" t="str">
        <f>IF(Table13[[#This Row],[Zeit LKC]]&gt;0,_xlfn.RANK.EQ(Table13[[#This Row],[Punkte LKC]],Table13[Punkte LKC],0)," ")</f>
        <v xml:space="preserve"> </v>
      </c>
      <c r="Q24" s="16">
        <f>IF(Table13[[#This Row],[Zeit LKC]]&gt;0,MIN(Table13[Zeit LKC])/Table13[[#This Row],[Zeit LKC]]*1000,0)</f>
        <v>0</v>
      </c>
      <c r="R24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24" s="16">
        <f>(Table13[[#This Row],[Punkte LKC]]+Table13[[#This Row],[Bonus LKC]])</f>
        <v>0</v>
      </c>
      <c r="T24" s="18" t="str">
        <f>IF(Table13[[#This Row],[Zeit LKC]]&gt;0,_xlfn.RANK.EQ(Table13[[#This Row],[Gesamt LKC]],Table13[Gesamt LKC],0)," ")</f>
        <v xml:space="preserve"> </v>
      </c>
      <c r="U24" s="23">
        <f>MAX( S24,M24)</f>
        <v>0</v>
      </c>
      <c r="V24" s="14">
        <v>3.0405092592592591E-2</v>
      </c>
      <c r="W24" s="12">
        <f>IF(Table13[[#This Row],[Zeit S&amp;R]]&gt;0,_xlfn.RANK.EQ(Table13[[#This Row],[Punkte S&amp;R]],Table13[Punkte S&amp;R],0)," ")</f>
        <v>1</v>
      </c>
      <c r="X24" s="10">
        <f>IF(Table13[[#This Row],[Zeit S&amp;R]]&gt;0,MIN(Table13[Zeit S&amp;R])/Table13[[#This Row],[Zeit S&amp;R]]*1000,0)</f>
        <v>1000</v>
      </c>
      <c r="Y24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24" s="10">
        <f>(Table13[[#This Row],[Punkte S&amp;R]]+Table13[[#This Row],[Bonus S&amp;R]])</f>
        <v>1000</v>
      </c>
      <c r="AA24" s="15">
        <f>IF(Table13[[#This Row],[Zeit S&amp;R]]&gt;0,_xlfn.RANK.EQ(Table13[[#This Row],[Gesamt S&amp;R]],Table13[Gesamt S&amp;R],0)," ")</f>
        <v>1</v>
      </c>
      <c r="AB24" s="14"/>
      <c r="AC24" s="15" t="str">
        <f>IF(Table13[[#This Row],[Zeit LC]]&gt;0,_xlfn.RANK.EQ(Table13[[#This Row],[Punkte LC]],Table13[Punkte LC],0)," ")</f>
        <v xml:space="preserve"> </v>
      </c>
      <c r="AD24" s="10">
        <f>IF(Table13[[#This Row],[Zeit LC]]&gt;0,MIN(Table13[Zeit LC])/Table13[[#This Row],[Zeit LC]]*1000,0)</f>
        <v>0</v>
      </c>
      <c r="AE24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24" s="10">
        <f>(Table13[[#This Row],[Punkte LC]]+Table13[[#This Row],[Bonus LC]])</f>
        <v>0</v>
      </c>
      <c r="AG24" s="15" t="str">
        <f>IF(Table13[[#This Row],[Zeit LC]]&gt;0,_xlfn.RANK.EQ(Table13[[#This Row],[Gesamt LC]],Table13[Gesamt LC],0)," ")</f>
        <v xml:space="preserve"> </v>
      </c>
      <c r="AH24" s="23">
        <f>MAX( Z24,AF24)</f>
        <v>1000</v>
      </c>
      <c r="AI24" s="14"/>
      <c r="AJ24" s="12" t="str">
        <f>IF(Table13[[#This Row],[Zeit BZF]]&gt;0,_xlfn.RANK.EQ(Table13[[#This Row],[Punkte BZF]],Table13[Punkte BZF],0)," ")</f>
        <v xml:space="preserve"> </v>
      </c>
      <c r="AK24" s="10">
        <f>IF(Table13[[#This Row],[Zeit BZF]]&gt;0,MIN(Table13[Zeit BZF])/Table13[[#This Row],[Zeit BZF]]*1000,0)</f>
        <v>0</v>
      </c>
      <c r="AL24" s="8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24" s="10">
        <f>(Table13[[#This Row],[Punkte BZF]]+Table13[[#This Row],[Bonus BZF]])</f>
        <v>0</v>
      </c>
      <c r="AN24" s="15" t="str">
        <f>IF(Table13[[#This Row],[Zeit BZF]]&gt;0,_xlfn.RANK.EQ(Table13[[#This Row],[Gesamt BZF]],Table13[Gesamt BZF],0)," ")</f>
        <v xml:space="preserve"> </v>
      </c>
      <c r="AO24" s="14"/>
      <c r="AP24" s="12" t="str">
        <f>IF(Table13[[#This Row],[Zeit EZF]]&gt;0,_xlfn.RANK.EQ(Table13[[#This Row],[Punkte EZF]],Table13[Punkte EZF],0)," ")</f>
        <v xml:space="preserve"> </v>
      </c>
      <c r="AQ24" s="10">
        <f>IF(Table13[[#This Row],[Zeit EZF]]&gt;0,MIN(Table13[Zeit EZF])/Table13[[#This Row],[Zeit EZF]]*1000,0)</f>
        <v>0</v>
      </c>
      <c r="AR24" s="8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24" s="10">
        <f>(Table13[[#This Row],[Punkte EZF]]+Table13[[#This Row],[Bonus EZF]])</f>
        <v>0</v>
      </c>
      <c r="AT24" s="15" t="str">
        <f>IF(Table13[[#This Row],[Zeit EZF]]&gt;0,_xlfn.RANK.EQ(Table13[[#This Row],[Gesamt EZF]],Table13[Gesamt EZF],0)," ")</f>
        <v xml:space="preserve"> </v>
      </c>
      <c r="AU24" s="26">
        <f t="shared" si="1"/>
        <v>0</v>
      </c>
    </row>
    <row r="25" spans="1:47" x14ac:dyDescent="0.25">
      <c r="A25" s="1" t="s">
        <v>147</v>
      </c>
      <c r="B25" s="1" t="s">
        <v>108</v>
      </c>
      <c r="C25" s="5"/>
      <c r="D25" s="5">
        <v>1998</v>
      </c>
      <c r="E25" s="6">
        <f>IF(Table13[[#This Row],[JG]],2024-Table13[[#This Row],[JG]],0)</f>
        <v>26</v>
      </c>
      <c r="F25" s="5"/>
      <c r="G25" s="49">
        <f t="shared" si="0"/>
        <v>964.3906020558004</v>
      </c>
      <c r="H25" s="35">
        <f>_xlfn.RANK.EQ(Table13[[#This Row],[Gesamtpunkte]],Table13[Gesamtpunkte],0)</f>
        <v>23</v>
      </c>
      <c r="I25" s="28"/>
      <c r="J25" s="29" t="str">
        <f>IF(Table13[[#This Row],[Zeit LSC]]&gt;0,_xlfn.RANK.EQ(Table13[[#This Row],[Punkte LSC]],Table13[Punkte LSC],0)," ")</f>
        <v xml:space="preserve"> </v>
      </c>
      <c r="K25" s="30">
        <f>IF(Table13[[#This Row],[Zeit LSC]]&gt;0,MIN(Table13[Zeit LSC])/Table13[[#This Row],[Zeit LSC]]*1000,0)</f>
        <v>0</v>
      </c>
      <c r="L25" s="3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25" s="30">
        <f>(Table13[[#This Row],[Punkte LSC]]+Table13[[#This Row],[Bonus LSC]])</f>
        <v>0</v>
      </c>
      <c r="N25" s="32" t="str">
        <f>IF(Table13[[#This Row],[Zeit LSC]]&gt;0,_xlfn.RANK.EQ(Table13[[#This Row],[Gesamt LSC]],Table13[Gesamt LSC],0)," ")</f>
        <v xml:space="preserve"> </v>
      </c>
      <c r="O25" s="34"/>
      <c r="P25" s="6" t="str">
        <f>IF(Table13[[#This Row],[Zeit LKC]]&gt;0,_xlfn.RANK.EQ(Table13[[#This Row],[Punkte LKC]],Table13[Punkte LKC],0)," ")</f>
        <v xml:space="preserve"> </v>
      </c>
      <c r="Q25" s="16">
        <f>IF(Table13[[#This Row],[Zeit LKC]]&gt;0,MIN(Table13[Zeit LKC])/Table13[[#This Row],[Zeit LKC]]*1000,0)</f>
        <v>0</v>
      </c>
      <c r="R25" s="33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25" s="19">
        <f>(Table13[[#This Row],[Punkte LKC]]+Table13[[#This Row],[Bonus LKC]])</f>
        <v>0</v>
      </c>
      <c r="T25" s="25" t="str">
        <f>IF(Table13[[#This Row],[Zeit LKC]]&gt;0,_xlfn.RANK.EQ(Table13[[#This Row],[Gesamt LKC]],Table13[Gesamt LKC],0)," ")</f>
        <v xml:space="preserve"> </v>
      </c>
      <c r="U25" s="23">
        <f>MAX( S25,M25)</f>
        <v>0</v>
      </c>
      <c r="V25" s="14">
        <v>3.1527777777777773E-2</v>
      </c>
      <c r="W25" s="12">
        <f>IF(Table13[[#This Row],[Zeit S&amp;R]]&gt;0,_xlfn.RANK.EQ(Table13[[#This Row],[Punkte S&amp;R]],Table13[Punkte S&amp;R],0)," ")</f>
        <v>2</v>
      </c>
      <c r="X25" s="10">
        <f>IF(Table13[[#This Row],[Zeit S&amp;R]]&gt;0,MIN(Table13[Zeit S&amp;R])/Table13[[#This Row],[Zeit S&amp;R]]*1000,0)</f>
        <v>964.3906020558004</v>
      </c>
      <c r="Y25" s="11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25" s="10">
        <f>(Table13[[#This Row],[Punkte S&amp;R]]+Table13[[#This Row],[Bonus S&amp;R]])</f>
        <v>964.3906020558004</v>
      </c>
      <c r="AA25" s="21">
        <f>IF(Table13[[#This Row],[Zeit S&amp;R]]&gt;0,_xlfn.RANK.EQ(Table13[[#This Row],[Gesamt S&amp;R]],Table13[Gesamt S&amp;R],0)," ")</f>
        <v>2</v>
      </c>
      <c r="AB25" s="14"/>
      <c r="AC25" s="21" t="str">
        <f>IF(Table13[[#This Row],[Zeit LC]]&gt;0,_xlfn.RANK.EQ(Table13[[#This Row],[Punkte LC]],Table13[Punkte LC],0)," ")</f>
        <v xml:space="preserve"> </v>
      </c>
      <c r="AD25" s="10">
        <f>IF(Table13[[#This Row],[Zeit LC]]&gt;0,MIN(Table13[Zeit LC])/Table13[[#This Row],[Zeit LC]]*1000,0)</f>
        <v>0</v>
      </c>
      <c r="AE25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25" s="10">
        <f>(Table13[[#This Row],[Punkte LC]]+Table13[[#This Row],[Bonus LC]])</f>
        <v>0</v>
      </c>
      <c r="AG25" s="21" t="str">
        <f>IF(Table13[[#This Row],[Zeit LC]]&gt;0,_xlfn.RANK.EQ(Table13[[#This Row],[Gesamt LC]],Table13[Gesamt LC],0)," ")</f>
        <v xml:space="preserve"> </v>
      </c>
      <c r="AH25" s="23">
        <f>MAX( Z25,AF25)</f>
        <v>964.3906020558004</v>
      </c>
      <c r="AI25" s="14"/>
      <c r="AJ25" s="12" t="str">
        <f>IF(Table13[[#This Row],[Zeit BZF]]&gt;0,_xlfn.RANK.EQ(Table13[[#This Row],[Punkte BZF]],Table13[Punkte BZF],0)," ")</f>
        <v xml:space="preserve"> </v>
      </c>
      <c r="AK25" s="10">
        <f>IF(Table13[[#This Row],[Zeit BZF]]&gt;0,MIN(Table13[Zeit BZF])/Table13[[#This Row],[Zeit BZF]]*1000,0)</f>
        <v>0</v>
      </c>
      <c r="AL25" s="11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25" s="10">
        <f>(Table13[[#This Row],[Punkte BZF]]+Table13[[#This Row],[Bonus BZF]])</f>
        <v>0</v>
      </c>
      <c r="AN25" s="21" t="str">
        <f>IF(Table13[[#This Row],[Zeit BZF]]&gt;0,_xlfn.RANK.EQ(Table13[[#This Row],[Gesamt BZF]],Table13[Gesamt BZF],0)," ")</f>
        <v xml:space="preserve"> </v>
      </c>
      <c r="AO25" s="14"/>
      <c r="AP25" s="12" t="str">
        <f>IF(Table13[[#This Row],[Zeit EZF]]&gt;0,_xlfn.RANK.EQ(Table13[[#This Row],[Punkte EZF]],Table13[Punkte EZF],0)," ")</f>
        <v xml:space="preserve"> </v>
      </c>
      <c r="AQ25" s="10">
        <f>IF(Table13[[#This Row],[Zeit EZF]]&gt;0,MIN(Table13[Zeit EZF])/Table13[[#This Row],[Zeit EZF]]*1000,0)</f>
        <v>0</v>
      </c>
      <c r="AR25" s="11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25" s="10">
        <f>(Table13[[#This Row],[Punkte EZF]]+Table13[[#This Row],[Bonus EZF]])</f>
        <v>0</v>
      </c>
      <c r="AT25" s="21" t="str">
        <f>IF(Table13[[#This Row],[Zeit EZF]]&gt;0,_xlfn.RANK.EQ(Table13[[#This Row],[Gesamt EZF]],Table13[Gesamt EZF],0)," ")</f>
        <v xml:space="preserve"> </v>
      </c>
      <c r="AU25" s="26">
        <f t="shared" si="1"/>
        <v>0</v>
      </c>
    </row>
    <row r="26" spans="1:47" x14ac:dyDescent="0.25">
      <c r="A26" s="1" t="s">
        <v>148</v>
      </c>
      <c r="B26" s="1" t="s">
        <v>149</v>
      </c>
      <c r="C26" s="5"/>
      <c r="D26" s="5">
        <v>1996</v>
      </c>
      <c r="E26" s="6">
        <f>IF(Table13[[#This Row],[JG]],2024-Table13[[#This Row],[JG]],0)</f>
        <v>28</v>
      </c>
      <c r="F26" s="5"/>
      <c r="G26" s="49">
        <f t="shared" si="0"/>
        <v>953.19303338171255</v>
      </c>
      <c r="H26" s="35">
        <f>_xlfn.RANK.EQ(Table13[[#This Row],[Gesamtpunkte]],Table13[Gesamtpunkte],0)</f>
        <v>24</v>
      </c>
      <c r="I26" s="28"/>
      <c r="J26" s="29" t="str">
        <f>IF(Table13[[#This Row],[Zeit LSC]]&gt;0,_xlfn.RANK.EQ(Table13[[#This Row],[Punkte LSC]],Table13[Punkte LSC],0)," ")</f>
        <v xml:space="preserve"> </v>
      </c>
      <c r="K26" s="30">
        <f>IF(Table13[[#This Row],[Zeit LSC]]&gt;0,MIN(Table13[Zeit LSC])/Table13[[#This Row],[Zeit LSC]]*1000,0)</f>
        <v>0</v>
      </c>
      <c r="L26" s="3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26" s="30">
        <f>(Table13[[#This Row],[Punkte LSC]]+Table13[[#This Row],[Bonus LSC]])</f>
        <v>0</v>
      </c>
      <c r="N26" s="32" t="str">
        <f>IF(Table13[[#This Row],[Zeit LSC]]&gt;0,_xlfn.RANK.EQ(Table13[[#This Row],[Gesamt LSC]],Table13[Gesamt LSC],0)," ")</f>
        <v xml:space="preserve"> </v>
      </c>
      <c r="O26" s="34"/>
      <c r="P26" s="6" t="str">
        <f>IF(Table13[[#This Row],[Zeit LKC]]&gt;0,_xlfn.RANK.EQ(Table13[[#This Row],[Punkte LKC]],Table13[Punkte LKC],0)," ")</f>
        <v xml:space="preserve"> </v>
      </c>
      <c r="Q26" s="16">
        <f>IF(Table13[[#This Row],[Zeit LKC]]&gt;0,MIN(Table13[Zeit LKC])/Table13[[#This Row],[Zeit LKC]]*1000,0)</f>
        <v>0</v>
      </c>
      <c r="R26" s="33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26" s="19">
        <f>(Table13[[#This Row],[Punkte LKC]]+Table13[[#This Row],[Bonus LKC]])</f>
        <v>0</v>
      </c>
      <c r="T26" s="19" t="str">
        <f>IF(Table13[[#This Row],[Zeit LKC]]&gt;0,_xlfn.RANK.EQ(Table13[[#This Row],[Gesamt LKC]],Table13[Gesamt LKC],0)," ")</f>
        <v xml:space="preserve"> </v>
      </c>
      <c r="U26" s="23">
        <f>MAX( S26,M26)</f>
        <v>0</v>
      </c>
      <c r="V26" s="14">
        <v>3.1898148148148148E-2</v>
      </c>
      <c r="W26" s="12">
        <f>IF(Table13[[#This Row],[Zeit S&amp;R]]&gt;0,_xlfn.RANK.EQ(Table13[[#This Row],[Punkte S&amp;R]],Table13[Punkte S&amp;R],0)," ")</f>
        <v>3</v>
      </c>
      <c r="X26" s="10">
        <f>IF(Table13[[#This Row],[Zeit S&amp;R]]&gt;0,MIN(Table13[Zeit S&amp;R])/Table13[[#This Row],[Zeit S&amp;R]]*1000,0)</f>
        <v>953.19303338171255</v>
      </c>
      <c r="Y26" s="11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26" s="10">
        <f>(Table13[[#This Row],[Punkte S&amp;R]]+Table13[[#This Row],[Bonus S&amp;R]])</f>
        <v>953.19303338171255</v>
      </c>
      <c r="AA26" s="21">
        <f>IF(Table13[[#This Row],[Zeit S&amp;R]]&gt;0,_xlfn.RANK.EQ(Table13[[#This Row],[Gesamt S&amp;R]],Table13[Gesamt S&amp;R],0)," ")</f>
        <v>3</v>
      </c>
      <c r="AB26" s="14"/>
      <c r="AC26" s="21" t="str">
        <f>IF(Table13[[#This Row],[Zeit LC]]&gt;0,_xlfn.RANK.EQ(Table13[[#This Row],[Punkte LC]],Table13[Punkte LC],0)," ")</f>
        <v xml:space="preserve"> </v>
      </c>
      <c r="AD26" s="10">
        <f>IF(Table13[[#This Row],[Zeit LC]]&gt;0,MIN(Table13[Zeit LC])/Table13[[#This Row],[Zeit LC]]*1000,0)</f>
        <v>0</v>
      </c>
      <c r="AE26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26" s="10">
        <f>(Table13[[#This Row],[Punkte LC]]+Table13[[#This Row],[Bonus LC]])</f>
        <v>0</v>
      </c>
      <c r="AG26" s="21" t="str">
        <f>IF(Table13[[#This Row],[Zeit LC]]&gt;0,_xlfn.RANK.EQ(Table13[[#This Row],[Gesamt LC]],Table13[Gesamt LC],0)," ")</f>
        <v xml:space="preserve"> </v>
      </c>
      <c r="AH26" s="23">
        <f>MAX( Z26,AF26)</f>
        <v>953.19303338171255</v>
      </c>
      <c r="AI26" s="9"/>
      <c r="AJ26" s="12" t="str">
        <f>IF(Table13[[#This Row],[Zeit BZF]]&gt;0,_xlfn.RANK.EQ(Table13[[#This Row],[Punkte BZF]],Table13[Punkte BZF],0)," ")</f>
        <v xml:space="preserve"> </v>
      </c>
      <c r="AK26" s="10">
        <f>IF(Table13[[#This Row],[Zeit BZF]]&gt;0,MIN(Table13[Zeit BZF])/Table13[[#This Row],[Zeit BZF]]*1000,0)</f>
        <v>0</v>
      </c>
      <c r="AL26" s="11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26" s="10">
        <f>(Table13[[#This Row],[Punkte BZF]]+Table13[[#This Row],[Bonus BZF]])</f>
        <v>0</v>
      </c>
      <c r="AN26" s="21" t="str">
        <f>IF(Table13[[#This Row],[Zeit BZF]]&gt;0,_xlfn.RANK.EQ(Table13[[#This Row],[Gesamt BZF]],Table13[Gesamt BZF],0)," ")</f>
        <v xml:space="preserve"> </v>
      </c>
      <c r="AO26" s="14"/>
      <c r="AP26" s="12" t="str">
        <f>IF(Table13[[#This Row],[Zeit EZF]]&gt;0,_xlfn.RANK.EQ(Table13[[#This Row],[Punkte EZF]],Table13[Punkte EZF],0)," ")</f>
        <v xml:space="preserve"> </v>
      </c>
      <c r="AQ26" s="10">
        <f>IF(Table13[[#This Row],[Zeit EZF]]&gt;0,MIN(Table13[Zeit EZF])/Table13[[#This Row],[Zeit EZF]]*1000,0)</f>
        <v>0</v>
      </c>
      <c r="AR26" s="11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26" s="10">
        <f>(Table13[[#This Row],[Punkte EZF]]+Table13[[#This Row],[Bonus EZF]])</f>
        <v>0</v>
      </c>
      <c r="AT26" s="21" t="str">
        <f>IF(Table13[[#This Row],[Zeit EZF]]&gt;0,_xlfn.RANK.EQ(Table13[[#This Row],[Gesamt EZF]],Table13[Gesamt EZF],0)," ")</f>
        <v xml:space="preserve"> </v>
      </c>
      <c r="AU26" s="26">
        <f t="shared" ref="AU26" si="4">MAX( AM26,AS26)</f>
        <v>0</v>
      </c>
    </row>
    <row r="27" spans="1:47" x14ac:dyDescent="0.25">
      <c r="A27" s="1" t="s">
        <v>88</v>
      </c>
      <c r="B27" s="1" t="s">
        <v>89</v>
      </c>
      <c r="C27" s="4">
        <v>1</v>
      </c>
      <c r="D27" s="4">
        <v>1981</v>
      </c>
      <c r="E27" s="4">
        <f>IF(Table13[[#This Row],[JG]],2024-Table13[[#This Row],[JG]],0)</f>
        <v>43</v>
      </c>
      <c r="F27" s="4"/>
      <c r="G27" s="49">
        <f t="shared" si="0"/>
        <v>926.55204557224272</v>
      </c>
      <c r="H27" s="35">
        <f>_xlfn.RANK.EQ(Table13[[#This Row],[Gesamtpunkte]],Table13[Gesamtpunkte],0)</f>
        <v>25</v>
      </c>
      <c r="I27" s="9"/>
      <c r="J27" s="13" t="str">
        <f>IF(Table13[[#This Row],[Zeit LSC]]&gt;0,_xlfn.RANK.EQ(Table13[[#This Row],[Punkte LSC]],Table13[Punkte LSC],0)," ")</f>
        <v xml:space="preserve"> </v>
      </c>
      <c r="K27" s="7">
        <f>IF(Table13[[#This Row],[Zeit LSC]]&gt;0,MIN(Table13[Zeit LSC])/Table13[[#This Row],[Zeit LSC]]*1000,0)</f>
        <v>0</v>
      </c>
      <c r="L27" s="8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27" s="7">
        <f>(Table13[[#This Row],[Punkte LSC]]+Table13[[#This Row],[Bonus LSC]])</f>
        <v>0</v>
      </c>
      <c r="N27" s="15" t="str">
        <f>IF(Table13[[#This Row],[Zeit LSC]]&gt;0,_xlfn.RANK.EQ(Table13[[#This Row],[Gesamt LSC]],Table13[Gesamt LSC],0)," ")</f>
        <v xml:space="preserve"> </v>
      </c>
      <c r="O27" s="9"/>
      <c r="P27" s="4" t="str">
        <f>IF(Table13[[#This Row],[Zeit LKC]]&gt;0,_xlfn.RANK.EQ(Table13[[#This Row],[Punkte LKC]],Table13[Punkte LKC],0)," ")</f>
        <v xml:space="preserve"> </v>
      </c>
      <c r="Q27" s="16">
        <f>IF(Table13[[#This Row],[Zeit LKC]]&gt;0,MIN(Table13[Zeit LKC])/Table13[[#This Row],[Zeit LKC]]*1000,0)</f>
        <v>0</v>
      </c>
      <c r="R27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27" s="16">
        <f>(Table13[[#This Row],[Punkte LKC]]+Table13[[#This Row],[Bonus LKC]])</f>
        <v>0</v>
      </c>
      <c r="T27" s="18" t="str">
        <f>IF(Table13[[#This Row],[Zeit LKC]]&gt;0,_xlfn.RANK.EQ(Table13[[#This Row],[Gesamt LKC]],Table13[Gesamt LKC],0)," ")</f>
        <v xml:space="preserve"> </v>
      </c>
      <c r="U27" s="23">
        <f>MAX( S27,M27)</f>
        <v>0</v>
      </c>
      <c r="V27" s="9"/>
      <c r="W27" s="12" t="str">
        <f>IF(Table13[[#This Row],[Zeit S&amp;R]]&gt;0,_xlfn.RANK.EQ(Table13[[#This Row],[Punkte S&amp;R]],Table13[Punkte S&amp;R],0)," ")</f>
        <v xml:space="preserve"> </v>
      </c>
      <c r="X27" s="7">
        <f>IF(Table13[[#This Row],[Zeit S&amp;R]]&gt;0,MIN(Table13[Zeit S&amp;R])/Table13[[#This Row],[Zeit S&amp;R]]*1000,0)</f>
        <v>0</v>
      </c>
      <c r="Y27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27" s="7">
        <f>(Table13[[#This Row],[Punkte S&amp;R]]+Table13[[#This Row],[Bonus S&amp;R]])</f>
        <v>0</v>
      </c>
      <c r="AA27" s="15" t="str">
        <f>IF(Table13[[#This Row],[Zeit S&amp;R]]&gt;0,_xlfn.RANK.EQ(Table13[[#This Row],[Gesamt S&amp;R]],Table13[Gesamt S&amp;R],0)," ")</f>
        <v xml:space="preserve"> </v>
      </c>
      <c r="AB27" s="9"/>
      <c r="AC27" s="15" t="str">
        <f>IF(Table13[[#This Row],[Zeit LC]]&gt;0,_xlfn.RANK.EQ(Table13[[#This Row],[Punkte LC]],Table13[Punkte LC],0)," ")</f>
        <v xml:space="preserve"> </v>
      </c>
      <c r="AD27" s="7">
        <f>IF(Table13[[#This Row],[Zeit LC]]&gt;0,MIN(Table13[Zeit LC])/Table13[[#This Row],[Zeit LC]]*1000,0)</f>
        <v>0</v>
      </c>
      <c r="AE27" s="7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27" s="7">
        <f>(Table13[[#This Row],[Punkte LC]]+Table13[[#This Row],[Bonus LC]])</f>
        <v>0</v>
      </c>
      <c r="AG27" s="15" t="str">
        <f>IF(Table13[[#This Row],[Zeit LC]]&gt;0,_xlfn.RANK.EQ(Table13[[#This Row],[Gesamt LC]],Table13[Gesamt LC],0)," ")</f>
        <v xml:space="preserve"> </v>
      </c>
      <c r="AH27" s="23">
        <f>MAX( Z27,AF27)</f>
        <v>0</v>
      </c>
      <c r="AI27" s="9"/>
      <c r="AJ27" s="12" t="str">
        <f>IF(Table13[[#This Row],[Zeit BZF]]&gt;0,_xlfn.RANK.EQ(Table13[[#This Row],[Punkte BZF]],Table13[Punkte BZF],0)," ")</f>
        <v xml:space="preserve"> </v>
      </c>
      <c r="AK27" s="10">
        <f>IF(Table13[[#This Row],[Zeit BZF]]&gt;0,MIN(Table13[Zeit BZF])/Table13[[#This Row],[Zeit BZF]]*1000,0)</f>
        <v>0</v>
      </c>
      <c r="AL27" s="8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27" s="7">
        <f>(Table13[[#This Row],[Punkte BZF]]+Table13[[#This Row],[Bonus BZF]])</f>
        <v>0</v>
      </c>
      <c r="AN27" s="15" t="str">
        <f>IF(Table13[[#This Row],[Zeit BZF]]&gt;0,_xlfn.RANK.EQ(Table13[[#This Row],[Gesamt BZF]],Table13[Gesamt BZF],0)," ")</f>
        <v xml:space="preserve"> </v>
      </c>
      <c r="AO27" s="9">
        <v>2.2349537037037032E-2</v>
      </c>
      <c r="AP27" s="12">
        <f>IF(Table13[[#This Row],[Zeit EZF]]&gt;0,_xlfn.RANK.EQ(Table13[[#This Row],[Punkte EZF]],Table13[Punkte EZF],0)," ")</f>
        <v>6</v>
      </c>
      <c r="AQ27" s="10">
        <f>IF(Table13[[#This Row],[Zeit EZF]]&gt;0,MIN(Table13[Zeit EZF])/Table13[[#This Row],[Zeit EZF]]*1000,0)</f>
        <v>914.55204557224272</v>
      </c>
      <c r="AR27" s="8">
        <f>IF(Table13[[#This Row],[Zeit EZF]]&gt;0,SUM(IF(Table13[[#This Row],[Alter]]&gt;40,(Table13[[#This Row],[Alter]]-40)*4,0),IF(AND(Table13[[#This Row],[Alter]]&lt;20,Table13[[#This Row],[Alter]]&gt;0),(20-Table13[[#This Row],[Alter]])*10,0)),0)</f>
        <v>12</v>
      </c>
      <c r="AS27" s="7">
        <f>(Table13[[#This Row],[Punkte EZF]]+Table13[[#This Row],[Bonus EZF]])</f>
        <v>926.55204557224272</v>
      </c>
      <c r="AT27" s="15">
        <f>IF(Table13[[#This Row],[Zeit EZF]]&gt;0,_xlfn.RANK.EQ(Table13[[#This Row],[Gesamt EZF]],Table13[Gesamt EZF],0)," ")</f>
        <v>6</v>
      </c>
      <c r="AU27" s="26">
        <f t="shared" si="1"/>
        <v>926.55204557224272</v>
      </c>
    </row>
    <row r="28" spans="1:47" x14ac:dyDescent="0.25">
      <c r="A28" s="1" t="s">
        <v>168</v>
      </c>
      <c r="B28" s="1" t="s">
        <v>122</v>
      </c>
      <c r="C28" s="5"/>
      <c r="D28" s="5">
        <v>1993</v>
      </c>
      <c r="E28" s="6">
        <f>IF(Table13[[#This Row],[JG]],2024-Table13[[#This Row],[JG]],0)</f>
        <v>31</v>
      </c>
      <c r="F28" s="5"/>
      <c r="G28" s="49">
        <f t="shared" si="0"/>
        <v>908.90375707668568</v>
      </c>
      <c r="H28" s="35">
        <f>_xlfn.RANK.EQ(Table13[[#This Row],[Gesamtpunkte]],Table13[Gesamtpunkte],0)</f>
        <v>26</v>
      </c>
      <c r="I28" s="28"/>
      <c r="J28" s="29" t="str">
        <f>IF(Table13[[#This Row],[Zeit LSC]]&gt;0,_xlfn.RANK.EQ(Table13[[#This Row],[Punkte LSC]],Table13[Punkte LSC],0)," ")</f>
        <v xml:space="preserve"> </v>
      </c>
      <c r="K28" s="30">
        <f>IF(Table13[[#This Row],[Zeit LSC]]&gt;0,MIN(Table13[Zeit LSC])/Table13[[#This Row],[Zeit LSC]]*1000,0)</f>
        <v>0</v>
      </c>
      <c r="L28" s="3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28" s="30">
        <f>(Table13[[#This Row],[Punkte LSC]]+Table13[[#This Row],[Bonus LSC]])</f>
        <v>0</v>
      </c>
      <c r="N28" s="32" t="str">
        <f>IF(Table13[[#This Row],[Zeit LSC]]&gt;0,_xlfn.RANK.EQ(Table13[[#This Row],[Gesamt LSC]],Table13[Gesamt LSC],0)," ")</f>
        <v xml:space="preserve"> </v>
      </c>
      <c r="O28" s="34"/>
      <c r="P28" s="6" t="str">
        <f>IF(Table13[[#This Row],[Zeit LKC]]&gt;0,_xlfn.RANK.EQ(Table13[[#This Row],[Punkte LKC]],Table13[Punkte LKC],0)," ")</f>
        <v xml:space="preserve"> </v>
      </c>
      <c r="Q28" s="16">
        <f>IF(Table13[[#This Row],[Zeit LKC]]&gt;0,MIN(Table13[Zeit LKC])/Table13[[#This Row],[Zeit LKC]]*1000,0)</f>
        <v>0</v>
      </c>
      <c r="R28" s="33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28" s="19">
        <f>(Table13[[#This Row],[Punkte LKC]]+Table13[[#This Row],[Bonus LKC]])</f>
        <v>0</v>
      </c>
      <c r="T28" s="19" t="str">
        <f>IF(Table13[[#This Row],[Zeit LKC]]&gt;0,_xlfn.RANK.EQ(Table13[[#This Row],[Gesamt LKC]],Table13[Gesamt LKC],0)," ")</f>
        <v xml:space="preserve"> </v>
      </c>
      <c r="U28" s="23">
        <f>MAX( S28,M28)</f>
        <v>0</v>
      </c>
      <c r="V28" s="14"/>
      <c r="W28" s="12" t="str">
        <f>IF(Table13[[#This Row],[Zeit S&amp;R]]&gt;0,_xlfn.RANK.EQ(Table13[[#This Row],[Punkte S&amp;R]],Table13[Punkte S&amp;R],0)," ")</f>
        <v xml:space="preserve"> </v>
      </c>
      <c r="X28" s="10">
        <f>IF(Table13[[#This Row],[Zeit S&amp;R]]&gt;0,MIN(Table13[Zeit S&amp;R])/Table13[[#This Row],[Zeit S&amp;R]]*1000,0)</f>
        <v>0</v>
      </c>
      <c r="Y28" s="11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28" s="10">
        <f>(Table13[[#This Row],[Punkte S&amp;R]]+Table13[[#This Row],[Bonus S&amp;R]])</f>
        <v>0</v>
      </c>
      <c r="AA28" s="21" t="str">
        <f>IF(Table13[[#This Row],[Zeit S&amp;R]]&gt;0,_xlfn.RANK.EQ(Table13[[#This Row],[Gesamt S&amp;R]],Table13[Gesamt S&amp;R],0)," ")</f>
        <v xml:space="preserve"> </v>
      </c>
      <c r="AB28" s="14"/>
      <c r="AC28" s="21" t="str">
        <f>IF(Table13[[#This Row],[Zeit LC]]&gt;0,_xlfn.RANK.EQ(Table13[[#This Row],[Punkte LC]],Table13[Punkte LC],0)," ")</f>
        <v xml:space="preserve"> </v>
      </c>
      <c r="AD28" s="10">
        <f>IF(Table13[[#This Row],[Zeit LC]]&gt;0,MIN(Table13[Zeit LC])/Table13[[#This Row],[Zeit LC]]*1000,0)</f>
        <v>0</v>
      </c>
      <c r="AE28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28" s="10">
        <f>(Table13[[#This Row],[Punkte LC]]+Table13[[#This Row],[Bonus LC]])</f>
        <v>0</v>
      </c>
      <c r="AG28" s="21" t="str">
        <f>IF(Table13[[#This Row],[Zeit LC]]&gt;0,_xlfn.RANK.EQ(Table13[[#This Row],[Gesamt LC]],Table13[Gesamt LC],0)," ")</f>
        <v xml:space="preserve"> </v>
      </c>
      <c r="AH28" s="23">
        <f>MAX( Z28,AF28)</f>
        <v>0</v>
      </c>
      <c r="AI28" s="14"/>
      <c r="AJ28" s="12" t="str">
        <f>IF(Table13[[#This Row],[Zeit BZF]]&gt;0,_xlfn.RANK.EQ(Table13[[#This Row],[Punkte BZF]],Table13[Punkte BZF],0)," ")</f>
        <v xml:space="preserve"> </v>
      </c>
      <c r="AK28" s="10">
        <f>IF(Table13[[#This Row],[Zeit BZF]]&gt;0,MIN(Table13[Zeit BZF])/Table13[[#This Row],[Zeit BZF]]*1000,0)</f>
        <v>0</v>
      </c>
      <c r="AL28" s="11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28" s="10">
        <f>(Table13[[#This Row],[Punkte BZF]]+Table13[[#This Row],[Bonus BZF]])</f>
        <v>0</v>
      </c>
      <c r="AN28" s="21" t="str">
        <f>IF(Table13[[#This Row],[Zeit BZF]]&gt;0,_xlfn.RANK.EQ(Table13[[#This Row],[Gesamt BZF]],Table13[Gesamt BZF],0)," ")</f>
        <v xml:space="preserve"> </v>
      </c>
      <c r="AO28" s="14">
        <v>2.2488425925925926E-2</v>
      </c>
      <c r="AP28" s="12">
        <f>IF(Table13[[#This Row],[Zeit EZF]]&gt;0,_xlfn.RANK.EQ(Table13[[#This Row],[Punkte EZF]],Table13[Punkte EZF],0)," ")</f>
        <v>8</v>
      </c>
      <c r="AQ28" s="10">
        <f>IF(Table13[[#This Row],[Zeit EZF]]&gt;0,MIN(Table13[Zeit EZF])/Table13[[#This Row],[Zeit EZF]]*1000,0)</f>
        <v>908.90375707668568</v>
      </c>
      <c r="AR28" s="11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28" s="10">
        <f>(Table13[[#This Row],[Punkte EZF]]+Table13[[#This Row],[Bonus EZF]])</f>
        <v>908.90375707668568</v>
      </c>
      <c r="AT28" s="21">
        <f>IF(Table13[[#This Row],[Zeit EZF]]&gt;0,_xlfn.RANK.EQ(Table13[[#This Row],[Gesamt EZF]],Table13[Gesamt EZF],0)," ")</f>
        <v>9</v>
      </c>
      <c r="AU28" s="26">
        <f t="shared" si="1"/>
        <v>908.90375707668568</v>
      </c>
    </row>
    <row r="29" spans="1:47" x14ac:dyDescent="0.25">
      <c r="A29" s="1" t="s">
        <v>118</v>
      </c>
      <c r="B29" s="1" t="s">
        <v>60</v>
      </c>
      <c r="C29" s="5"/>
      <c r="D29" s="5">
        <v>1994</v>
      </c>
      <c r="E29" s="6">
        <f>IF(Table13[[#This Row],[JG]],2024-Table13[[#This Row],[JG]],0)</f>
        <v>30</v>
      </c>
      <c r="F29" s="5"/>
      <c r="G29" s="49">
        <f t="shared" si="0"/>
        <v>907.03646635850032</v>
      </c>
      <c r="H29" s="35">
        <f>_xlfn.RANK.EQ(Table13[[#This Row],[Gesamtpunkte]],Table13[Gesamtpunkte],0)</f>
        <v>27</v>
      </c>
      <c r="I29" s="14"/>
      <c r="J29" s="13" t="str">
        <f>IF(Table13[[#This Row],[Zeit LSC]]&gt;0,_xlfn.RANK.EQ(Table13[[#This Row],[Punkte LSC]],Table13[Punkte LSC],0)," ")</f>
        <v xml:space="preserve"> </v>
      </c>
      <c r="K29" s="10">
        <f>IF(Table13[[#This Row],[Zeit LSC]]&gt;0,MIN(Table13[Zeit LSC])/Table13[[#This Row],[Zeit LSC]]*1000,0)</f>
        <v>0</v>
      </c>
      <c r="L29" s="1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29" s="10">
        <f>(Table13[[#This Row],[Punkte LSC]]+Table13[[#This Row],[Bonus LSC]])</f>
        <v>0</v>
      </c>
      <c r="N29" s="15" t="str">
        <f>IF(Table13[[#This Row],[Zeit LSC]]&gt;0,_xlfn.RANK.EQ(Table13[[#This Row],[Gesamt LSC]],Table13[Gesamt LSC],0)," ")</f>
        <v xml:space="preserve"> </v>
      </c>
      <c r="O29" s="9"/>
      <c r="P29" s="5" t="str">
        <f>IF(Table13[[#This Row],[Zeit LKC]]&gt;0,_xlfn.RANK.EQ(Table13[[#This Row],[Punkte LKC]],Table13[Punkte LKC],0)," ")</f>
        <v xml:space="preserve"> </v>
      </c>
      <c r="Q29" s="16">
        <f>IF(Table13[[#This Row],[Zeit LKC]]&gt;0,MIN(Table13[Zeit LKC])/Table13[[#This Row],[Zeit LKC]]*1000,0)</f>
        <v>0</v>
      </c>
      <c r="R29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29" s="16">
        <f>(Table13[[#This Row],[Punkte LKC]]+Table13[[#This Row],[Bonus LKC]])</f>
        <v>0</v>
      </c>
      <c r="T29" s="18" t="str">
        <f>IF(Table13[[#This Row],[Zeit LKC]]&gt;0,_xlfn.RANK.EQ(Table13[[#This Row],[Gesamt LKC]],Table13[Gesamt LKC],0)," ")</f>
        <v xml:space="preserve"> </v>
      </c>
      <c r="U29" s="23">
        <f>MAX( S29,M29)</f>
        <v>0</v>
      </c>
      <c r="V29" s="14"/>
      <c r="W29" s="12" t="str">
        <f>IF(Table13[[#This Row],[Zeit S&amp;R]]&gt;0,_xlfn.RANK.EQ(Table13[[#This Row],[Punkte S&amp;R]],Table13[Punkte S&amp;R],0)," ")</f>
        <v xml:space="preserve"> </v>
      </c>
      <c r="X29" s="10">
        <f>IF(Table13[[#This Row],[Zeit S&amp;R]]&gt;0,MIN(Table13[Zeit S&amp;R])/Table13[[#This Row],[Zeit S&amp;R]]*1000,0)</f>
        <v>0</v>
      </c>
      <c r="Y29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29" s="10">
        <f>(Table13[[#This Row],[Punkte S&amp;R]]+Table13[[#This Row],[Bonus S&amp;R]])</f>
        <v>0</v>
      </c>
      <c r="AA29" s="15" t="str">
        <f>IF(Table13[[#This Row],[Zeit S&amp;R]]&gt;0,_xlfn.RANK.EQ(Table13[[#This Row],[Gesamt S&amp;R]],Table13[Gesamt S&amp;R],0)," ")</f>
        <v xml:space="preserve"> </v>
      </c>
      <c r="AB29" s="14"/>
      <c r="AC29" s="15" t="str">
        <f>IF(Table13[[#This Row],[Zeit LC]]&gt;0,_xlfn.RANK.EQ(Table13[[#This Row],[Punkte LC]],Table13[Punkte LC],0)," ")</f>
        <v xml:space="preserve"> </v>
      </c>
      <c r="AD29" s="10">
        <f>IF(Table13[[#This Row],[Zeit LC]]&gt;0,MIN(Table13[Zeit LC])/Table13[[#This Row],[Zeit LC]]*1000,0)</f>
        <v>0</v>
      </c>
      <c r="AE29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29" s="10">
        <f>(Table13[[#This Row],[Punkte LC]]+Table13[[#This Row],[Bonus LC]])</f>
        <v>0</v>
      </c>
      <c r="AG29" s="15" t="str">
        <f>IF(Table13[[#This Row],[Zeit LC]]&gt;0,_xlfn.RANK.EQ(Table13[[#This Row],[Gesamt LC]],Table13[Gesamt LC],0)," ")</f>
        <v xml:space="preserve"> </v>
      </c>
      <c r="AH29" s="23">
        <f>MAX( Z29,AF29)</f>
        <v>0</v>
      </c>
      <c r="AI29" s="14"/>
      <c r="AJ29" s="12" t="str">
        <f>IF(Table13[[#This Row],[Zeit BZF]]&gt;0,_xlfn.RANK.EQ(Table13[[#This Row],[Punkte BZF]],Table13[Punkte BZF],0)," ")</f>
        <v xml:space="preserve"> </v>
      </c>
      <c r="AK29" s="10">
        <f>IF(Table13[[#This Row],[Zeit BZF]]&gt;0,MIN(Table13[Zeit BZF])/Table13[[#This Row],[Zeit BZF]]*1000,0)</f>
        <v>0</v>
      </c>
      <c r="AL29" s="8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29" s="10">
        <f>(Table13[[#This Row],[Punkte BZF]]+Table13[[#This Row],[Bonus BZF]])</f>
        <v>0</v>
      </c>
      <c r="AN29" s="15" t="str">
        <f>IF(Table13[[#This Row],[Zeit BZF]]&gt;0,_xlfn.RANK.EQ(Table13[[#This Row],[Gesamt BZF]],Table13[Gesamt BZF],0)," ")</f>
        <v xml:space="preserve"> </v>
      </c>
      <c r="AO29" s="14">
        <v>2.2534722222222223E-2</v>
      </c>
      <c r="AP29" s="12">
        <f>IF(Table13[[#This Row],[Zeit EZF]]&gt;0,_xlfn.RANK.EQ(Table13[[#This Row],[Punkte EZF]],Table13[Punkte EZF],0)," ")</f>
        <v>9</v>
      </c>
      <c r="AQ29" s="10">
        <f>IF(Table13[[#This Row],[Zeit EZF]]&gt;0,MIN(Table13[Zeit EZF])/Table13[[#This Row],[Zeit EZF]]*1000,0)</f>
        <v>907.03646635850032</v>
      </c>
      <c r="AR29" s="8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29" s="10">
        <f>(Table13[[#This Row],[Punkte EZF]]+Table13[[#This Row],[Bonus EZF]])</f>
        <v>907.03646635850032</v>
      </c>
      <c r="AT29" s="15">
        <f>IF(Table13[[#This Row],[Zeit EZF]]&gt;0,_xlfn.RANK.EQ(Table13[[#This Row],[Gesamt EZF]],Table13[Gesamt EZF],0)," ")</f>
        <v>11</v>
      </c>
      <c r="AU29" s="26">
        <f t="shared" ref="AU29" si="5">MAX( AM29,AS29)</f>
        <v>907.03646635850032</v>
      </c>
    </row>
    <row r="30" spans="1:47" x14ac:dyDescent="0.25">
      <c r="A30" s="1" t="s">
        <v>162</v>
      </c>
      <c r="B30" s="1" t="s">
        <v>126</v>
      </c>
      <c r="C30" s="5"/>
      <c r="D30" s="5">
        <v>1989</v>
      </c>
      <c r="E30" s="6">
        <f>IF(Table13[[#This Row],[JG]],2024-Table13[[#This Row],[JG]],0)</f>
        <v>35</v>
      </c>
      <c r="F30" s="5"/>
      <c r="G30" s="49">
        <f t="shared" si="0"/>
        <v>901.02040816326542</v>
      </c>
      <c r="H30" s="35">
        <f>_xlfn.RANK.EQ(Table13[[#This Row],[Gesamtpunkte]],Table13[Gesamtpunkte],0)</f>
        <v>28</v>
      </c>
      <c r="I30" s="28"/>
      <c r="J30" s="29" t="str">
        <f>IF(Table13[[#This Row],[Zeit LSC]]&gt;0,_xlfn.RANK.EQ(Table13[[#This Row],[Punkte LSC]],Table13[Punkte LSC],0)," ")</f>
        <v xml:space="preserve"> </v>
      </c>
      <c r="K30" s="30">
        <f>IF(Table13[[#This Row],[Zeit LSC]]&gt;0,MIN(Table13[Zeit LSC])/Table13[[#This Row],[Zeit LSC]]*1000,0)</f>
        <v>0</v>
      </c>
      <c r="L30" s="3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30" s="30">
        <f>(Table13[[#This Row],[Punkte LSC]]+Table13[[#This Row],[Bonus LSC]])</f>
        <v>0</v>
      </c>
      <c r="N30" s="32" t="str">
        <f>IF(Table13[[#This Row],[Zeit LSC]]&gt;0,_xlfn.RANK.EQ(Table13[[#This Row],[Gesamt LSC]],Table13[Gesamt LSC],0)," ")</f>
        <v xml:space="preserve"> </v>
      </c>
      <c r="O30" s="34"/>
      <c r="P30" s="6" t="str">
        <f>IF(Table13[[#This Row],[Zeit LKC]]&gt;0,_xlfn.RANK.EQ(Table13[[#This Row],[Punkte LKC]],Table13[Punkte LKC],0)," ")</f>
        <v xml:space="preserve"> </v>
      </c>
      <c r="Q30" s="16">
        <f>IF(Table13[[#This Row],[Zeit LKC]]&gt;0,MIN(Table13[Zeit LKC])/Table13[[#This Row],[Zeit LKC]]*1000,0)</f>
        <v>0</v>
      </c>
      <c r="R30" s="33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30" s="19">
        <f>(Table13[[#This Row],[Punkte LKC]]+Table13[[#This Row],[Bonus LKC]])</f>
        <v>0</v>
      </c>
      <c r="T30" s="19" t="str">
        <f>IF(Table13[[#This Row],[Zeit LKC]]&gt;0,_xlfn.RANK.EQ(Table13[[#This Row],[Gesamt LKC]],Table13[Gesamt LKC],0)," ")</f>
        <v xml:space="preserve"> </v>
      </c>
      <c r="U30" s="23">
        <f>MAX( S30,M30)</f>
        <v>0</v>
      </c>
      <c r="V30" s="14"/>
      <c r="W30" s="12" t="str">
        <f>IF(Table13[[#This Row],[Zeit S&amp;R]]&gt;0,_xlfn.RANK.EQ(Table13[[#This Row],[Punkte S&amp;R]],Table13[Punkte S&amp;R],0)," ")</f>
        <v xml:space="preserve"> </v>
      </c>
      <c r="X30" s="10">
        <f>IF(Table13[[#This Row],[Zeit S&amp;R]]&gt;0,MIN(Table13[Zeit S&amp;R])/Table13[[#This Row],[Zeit S&amp;R]]*1000,0)</f>
        <v>0</v>
      </c>
      <c r="Y30" s="11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30" s="10">
        <f>(Table13[[#This Row],[Punkte S&amp;R]]+Table13[[#This Row],[Bonus S&amp;R]])</f>
        <v>0</v>
      </c>
      <c r="AA30" s="21" t="str">
        <f>IF(Table13[[#This Row],[Zeit S&amp;R]]&gt;0,_xlfn.RANK.EQ(Table13[[#This Row],[Gesamt S&amp;R]],Table13[Gesamt S&amp;R],0)," ")</f>
        <v xml:space="preserve"> </v>
      </c>
      <c r="AB30" s="14"/>
      <c r="AC30" s="21" t="str">
        <f>IF(Table13[[#This Row],[Zeit LC]]&gt;0,_xlfn.RANK.EQ(Table13[[#This Row],[Punkte LC]],Table13[Punkte LC],0)," ")</f>
        <v xml:space="preserve"> </v>
      </c>
      <c r="AD30" s="10">
        <f>IF(Table13[[#This Row],[Zeit LC]]&gt;0,MIN(Table13[Zeit LC])/Table13[[#This Row],[Zeit LC]]*1000,0)</f>
        <v>0</v>
      </c>
      <c r="AE30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30" s="10">
        <f>(Table13[[#This Row],[Punkte LC]]+Table13[[#This Row],[Bonus LC]])</f>
        <v>0</v>
      </c>
      <c r="AG30" s="21" t="str">
        <f>IF(Table13[[#This Row],[Zeit LC]]&gt;0,_xlfn.RANK.EQ(Table13[[#This Row],[Gesamt LC]],Table13[Gesamt LC],0)," ")</f>
        <v xml:space="preserve"> </v>
      </c>
      <c r="AH30" s="23">
        <f>MAX( Z30,AF30)</f>
        <v>0</v>
      </c>
      <c r="AI30" s="14">
        <v>1.5682870370370371E-2</v>
      </c>
      <c r="AJ30" s="12">
        <f>IF(Table13[[#This Row],[Zeit BZF]]&gt;0,_xlfn.RANK.EQ(Table13[[#This Row],[Punkte BZF]],Table13[Punkte BZF],0)," ")</f>
        <v>13</v>
      </c>
      <c r="AK30" s="10">
        <f>IF(Table13[[#This Row],[Zeit BZF]]&gt;0,MIN(Table13[Zeit BZF])/Table13[[#This Row],[Zeit BZF]]*1000,0)</f>
        <v>805.90405904059037</v>
      </c>
      <c r="AL30" s="11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30" s="10">
        <f>(Table13[[#This Row],[Punkte BZF]]+Table13[[#This Row],[Bonus BZF]])</f>
        <v>805.90405904059037</v>
      </c>
      <c r="AN30" s="21">
        <f>IF(Table13[[#This Row],[Zeit BZF]]&gt;0,_xlfn.RANK.EQ(Table13[[#This Row],[Gesamt BZF]],Table13[Gesamt BZF],0)," ")</f>
        <v>15</v>
      </c>
      <c r="AO30" s="14">
        <v>2.2685185185185183E-2</v>
      </c>
      <c r="AP30" s="12">
        <f>IF(Table13[[#This Row],[Zeit EZF]]&gt;0,_xlfn.RANK.EQ(Table13[[#This Row],[Punkte EZF]],Table13[Punkte EZF],0)," ")</f>
        <v>10</v>
      </c>
      <c r="AQ30" s="10">
        <f>IF(Table13[[#This Row],[Zeit EZF]]&gt;0,MIN(Table13[Zeit EZF])/Table13[[#This Row],[Zeit EZF]]*1000,0)</f>
        <v>901.02040816326542</v>
      </c>
      <c r="AR30" s="11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30" s="10">
        <f>(Table13[[#This Row],[Punkte EZF]]+Table13[[#This Row],[Bonus EZF]])</f>
        <v>901.02040816326542</v>
      </c>
      <c r="AT30" s="21">
        <f>IF(Table13[[#This Row],[Zeit EZF]]&gt;0,_xlfn.RANK.EQ(Table13[[#This Row],[Gesamt EZF]],Table13[Gesamt EZF],0)," ")</f>
        <v>12</v>
      </c>
      <c r="AU30" s="26">
        <f t="shared" ref="AU30" si="6">MAX( AM30,AS30)</f>
        <v>901.02040816326542</v>
      </c>
    </row>
    <row r="31" spans="1:47" x14ac:dyDescent="0.25">
      <c r="A31" s="1" t="s">
        <v>72</v>
      </c>
      <c r="B31" s="1" t="s">
        <v>73</v>
      </c>
      <c r="C31" s="4">
        <v>1</v>
      </c>
      <c r="D31" s="4">
        <v>1964</v>
      </c>
      <c r="E31" s="4">
        <f>IF(Table13[[#This Row],[JG]],2024-Table13[[#This Row],[JG]],0)</f>
        <v>60</v>
      </c>
      <c r="F31" s="4"/>
      <c r="G31" s="49">
        <f t="shared" si="0"/>
        <v>892.76798475464511</v>
      </c>
      <c r="H31" s="35">
        <f>_xlfn.RANK.EQ(Table13[[#This Row],[Gesamtpunkte]],Table13[Gesamtpunkte],0)</f>
        <v>29</v>
      </c>
      <c r="I31" s="9"/>
      <c r="J31" s="13" t="str">
        <f>IF(Table13[[#This Row],[Zeit LSC]]&gt;0,_xlfn.RANK.EQ(Table13[[#This Row],[Punkte LSC]],Table13[Punkte LSC],0)," ")</f>
        <v xml:space="preserve"> </v>
      </c>
      <c r="K31" s="7">
        <f>IF(Table13[[#This Row],[Zeit LSC]]&gt;0,MIN(Table13[Zeit LSC])/Table13[[#This Row],[Zeit LSC]]*1000,0)</f>
        <v>0</v>
      </c>
      <c r="L31" s="8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31" s="7">
        <f>(Table13[[#This Row],[Punkte LSC]]+Table13[[#This Row],[Bonus LSC]])</f>
        <v>0</v>
      </c>
      <c r="N31" s="15" t="str">
        <f>IF(Table13[[#This Row],[Zeit LSC]]&gt;0,_xlfn.RANK.EQ(Table13[[#This Row],[Gesamt LSC]],Table13[Gesamt LSC],0)," ")</f>
        <v xml:space="preserve"> </v>
      </c>
      <c r="O31" s="9"/>
      <c r="P31" s="4" t="str">
        <f>IF(Table13[[#This Row],[Zeit LKC]]&gt;0,_xlfn.RANK.EQ(Table13[[#This Row],[Punkte LKC]],Table13[Punkte LKC],0)," ")</f>
        <v xml:space="preserve"> </v>
      </c>
      <c r="Q31" s="16">
        <f>IF(Table13[[#This Row],[Zeit LKC]]&gt;0,MIN(Table13[Zeit LKC])/Table13[[#This Row],[Zeit LKC]]*1000,0)</f>
        <v>0</v>
      </c>
      <c r="R31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31" s="16">
        <f>(Table13[[#This Row],[Punkte LKC]]+Table13[[#This Row],[Bonus LKC]])</f>
        <v>0</v>
      </c>
      <c r="T31" s="18" t="str">
        <f>IF(Table13[[#This Row],[Zeit LKC]]&gt;0,_xlfn.RANK.EQ(Table13[[#This Row],[Gesamt LKC]],Table13[Gesamt LKC],0)," ")</f>
        <v xml:space="preserve"> </v>
      </c>
      <c r="U31" s="23">
        <f>MAX( S31,M31)</f>
        <v>0</v>
      </c>
      <c r="V31" s="9"/>
      <c r="W31" s="12" t="str">
        <f>IF(Table13[[#This Row],[Zeit S&amp;R]]&gt;0,_xlfn.RANK.EQ(Table13[[#This Row],[Punkte S&amp;R]],Table13[Punkte S&amp;R],0)," ")</f>
        <v xml:space="preserve"> </v>
      </c>
      <c r="X31" s="7">
        <f>IF(Table13[[#This Row],[Zeit S&amp;R]]&gt;0,MIN(Table13[Zeit S&amp;R])/Table13[[#This Row],[Zeit S&amp;R]]*1000,0)</f>
        <v>0</v>
      </c>
      <c r="Y31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31" s="7">
        <f>(Table13[[#This Row],[Punkte S&amp;R]]+Table13[[#This Row],[Bonus S&amp;R]])</f>
        <v>0</v>
      </c>
      <c r="AA31" s="15" t="str">
        <f>IF(Table13[[#This Row],[Zeit S&amp;R]]&gt;0,_xlfn.RANK.EQ(Table13[[#This Row],[Gesamt S&amp;R]],Table13[Gesamt S&amp;R],0)," ")</f>
        <v xml:space="preserve"> </v>
      </c>
      <c r="AB31" s="9">
        <v>7.2881944444444444E-2</v>
      </c>
      <c r="AC31" s="15">
        <f>IF(Table13[[#This Row],[Zeit LC]]&gt;0,_xlfn.RANK.EQ(Table13[[#This Row],[Punkte LC]],Table13[Punkte LC],0)," ")</f>
        <v>4</v>
      </c>
      <c r="AD31" s="7">
        <f>IF(Table13[[#This Row],[Zeit LC]]&gt;0,MIN(Table13[Zeit LC])/Table13[[#This Row],[Zeit LC]]*1000,0)</f>
        <v>812.76798475464511</v>
      </c>
      <c r="AE31" s="7">
        <f>IF(Table13[[#This Row],[Zeit LC]]&gt;0,SUM(IF(Table13[[#This Row],[Alter]]&gt;40,(Table13[[#This Row],[Alter]]-40)*4,0),IF(AND(Table13[[#This Row],[Alter]]&lt;20,Table13[[#This Row],[Alter]]&gt;0),(20-Table13[[#This Row],[Alter]])*10,0)),0)</f>
        <v>80</v>
      </c>
      <c r="AF31" s="7">
        <f>(Table13[[#This Row],[Punkte LC]]+Table13[[#This Row],[Bonus LC]])</f>
        <v>892.76798475464511</v>
      </c>
      <c r="AG31" s="15">
        <f>IF(Table13[[#This Row],[Zeit LC]]&gt;0,_xlfn.RANK.EQ(Table13[[#This Row],[Gesamt LC]],Table13[Gesamt LC],0)," ")</f>
        <v>3</v>
      </c>
      <c r="AH31" s="23">
        <f>MAX( Z31,AF31)</f>
        <v>892.76798475464511</v>
      </c>
      <c r="AI31" s="9"/>
      <c r="AJ31" s="12" t="str">
        <f>IF(Table13[[#This Row],[Zeit BZF]]&gt;0,_xlfn.RANK.EQ(Table13[[#This Row],[Punkte BZF]],Table13[Punkte BZF],0)," ")</f>
        <v xml:space="preserve"> </v>
      </c>
      <c r="AK31" s="10">
        <f>IF(Table13[[#This Row],[Zeit BZF]]&gt;0,MIN(Table13[Zeit BZF])/Table13[[#This Row],[Zeit BZF]]*1000,0)</f>
        <v>0</v>
      </c>
      <c r="AL31" s="8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31" s="7">
        <f>(Table13[[#This Row],[Punkte BZF]]+Table13[[#This Row],[Bonus BZF]])</f>
        <v>0</v>
      </c>
      <c r="AN31" s="15" t="str">
        <f>IF(Table13[[#This Row],[Zeit BZF]]&gt;0,_xlfn.RANK.EQ(Table13[[#This Row],[Gesamt BZF]],Table13[Gesamt BZF],0)," ")</f>
        <v xml:space="preserve"> </v>
      </c>
      <c r="AO31" s="9"/>
      <c r="AP31" s="12" t="str">
        <f>IF(Table13[[#This Row],[Zeit EZF]]&gt;0,_xlfn.RANK.EQ(Table13[[#This Row],[Punkte EZF]],Table13[Punkte EZF],0)," ")</f>
        <v xml:space="preserve"> </v>
      </c>
      <c r="AQ31" s="10">
        <f>IF(Table13[[#This Row],[Zeit EZF]]&gt;0,MIN(Table13[Zeit EZF])/Table13[[#This Row],[Zeit EZF]]*1000,0)</f>
        <v>0</v>
      </c>
      <c r="AR31" s="8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31" s="7">
        <f>(Table13[[#This Row],[Punkte EZF]]+Table13[[#This Row],[Bonus EZF]])</f>
        <v>0</v>
      </c>
      <c r="AT31" s="15" t="str">
        <f>IF(Table13[[#This Row],[Zeit EZF]]&gt;0,_xlfn.RANK.EQ(Table13[[#This Row],[Gesamt EZF]],Table13[Gesamt EZF],0)," ")</f>
        <v xml:space="preserve"> </v>
      </c>
      <c r="AU31" s="26">
        <f t="shared" ref="AU31:AU37" si="7">MAX( AM31,AS31)</f>
        <v>0</v>
      </c>
    </row>
    <row r="32" spans="1:47" x14ac:dyDescent="0.25">
      <c r="A32" s="1" t="s">
        <v>94</v>
      </c>
      <c r="B32" s="1" t="s">
        <v>60</v>
      </c>
      <c r="C32" s="4"/>
      <c r="D32" s="4">
        <v>1978</v>
      </c>
      <c r="E32" s="4">
        <f>IF(Table13[[#This Row],[JG]],2024-Table13[[#This Row],[JG]],0)</f>
        <v>46</v>
      </c>
      <c r="F32" s="4"/>
      <c r="G32" s="49">
        <f t="shared" si="0"/>
        <v>884.74705111402363</v>
      </c>
      <c r="H32" s="35">
        <f>_xlfn.RANK.EQ(Table13[[#This Row],[Gesamtpunkte]],Table13[Gesamtpunkte],0)</f>
        <v>30</v>
      </c>
      <c r="I32" s="9"/>
      <c r="J32" s="13" t="str">
        <f>IF(Table13[[#This Row],[Zeit LSC]]&gt;0,_xlfn.RANK.EQ(Table13[[#This Row],[Punkte LSC]],Table13[Punkte LSC],0)," ")</f>
        <v xml:space="preserve"> </v>
      </c>
      <c r="K32" s="7">
        <f>IF(Table13[[#This Row],[Zeit LSC]]&gt;0,MIN(Table13[Zeit LSC])/Table13[[#This Row],[Zeit LSC]]*1000,0)</f>
        <v>0</v>
      </c>
      <c r="L32" s="8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32" s="7">
        <f>(Table13[[#This Row],[Punkte LSC]]+Table13[[#This Row],[Bonus LSC]])</f>
        <v>0</v>
      </c>
      <c r="N32" s="15" t="str">
        <f>IF(Table13[[#This Row],[Zeit LSC]]&gt;0,_xlfn.RANK.EQ(Table13[[#This Row],[Gesamt LSC]],Table13[Gesamt LSC],0)," ")</f>
        <v xml:space="preserve"> </v>
      </c>
      <c r="O32" s="9"/>
      <c r="P32" s="4" t="str">
        <f>IF(Table13[[#This Row],[Zeit LKC]]&gt;0,_xlfn.RANK.EQ(Table13[[#This Row],[Punkte LKC]],Table13[Punkte LKC],0)," ")</f>
        <v xml:space="preserve"> </v>
      </c>
      <c r="Q32" s="16">
        <f>IF(Table13[[#This Row],[Zeit LKC]]&gt;0,MIN(Table13[Zeit LKC])/Table13[[#This Row],[Zeit LKC]]*1000,0)</f>
        <v>0</v>
      </c>
      <c r="R32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32" s="16">
        <f>(Table13[[#This Row],[Punkte LKC]]+Table13[[#This Row],[Bonus LKC]])</f>
        <v>0</v>
      </c>
      <c r="T32" s="18" t="str">
        <f>IF(Table13[[#This Row],[Zeit LKC]]&gt;0,_xlfn.RANK.EQ(Table13[[#This Row],[Gesamt LKC]],Table13[Gesamt LKC],0)," ")</f>
        <v xml:space="preserve"> </v>
      </c>
      <c r="U32" s="23">
        <f>MAX( S32,M32)</f>
        <v>0</v>
      </c>
      <c r="V32" s="9">
        <v>3.532407407407407E-2</v>
      </c>
      <c r="W32" s="12">
        <f>IF(Table13[[#This Row],[Zeit S&amp;R]]&gt;0,_xlfn.RANK.EQ(Table13[[#This Row],[Punkte S&amp;R]],Table13[Punkte S&amp;R],0)," ")</f>
        <v>10</v>
      </c>
      <c r="X32" s="7">
        <f>IF(Table13[[#This Row],[Zeit S&amp;R]]&gt;0,MIN(Table13[Zeit S&amp;R])/Table13[[#This Row],[Zeit S&amp;R]]*1000,0)</f>
        <v>860.74705111402363</v>
      </c>
      <c r="Y32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24</v>
      </c>
      <c r="Z32" s="7">
        <f>(Table13[[#This Row],[Punkte S&amp;R]]+Table13[[#This Row],[Bonus S&amp;R]])</f>
        <v>884.74705111402363</v>
      </c>
      <c r="AA32" s="15">
        <f>IF(Table13[[#This Row],[Zeit S&amp;R]]&gt;0,_xlfn.RANK.EQ(Table13[[#This Row],[Gesamt S&amp;R]],Table13[Gesamt S&amp;R],0)," ")</f>
        <v>9</v>
      </c>
      <c r="AB32" s="9"/>
      <c r="AC32" s="15" t="str">
        <f>IF(Table13[[#This Row],[Zeit LC]]&gt;0,_xlfn.RANK.EQ(Table13[[#This Row],[Punkte LC]],Table13[Punkte LC],0)," ")</f>
        <v xml:space="preserve"> </v>
      </c>
      <c r="AD32" s="7">
        <f>IF(Table13[[#This Row],[Zeit LC]]&gt;0,MIN(Table13[Zeit LC])/Table13[[#This Row],[Zeit LC]]*1000,0)</f>
        <v>0</v>
      </c>
      <c r="AE32" s="7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32" s="7">
        <f>(Table13[[#This Row],[Punkte LC]]+Table13[[#This Row],[Bonus LC]])</f>
        <v>0</v>
      </c>
      <c r="AG32" s="15" t="str">
        <f>IF(Table13[[#This Row],[Zeit LC]]&gt;0,_xlfn.RANK.EQ(Table13[[#This Row],[Gesamt LC]],Table13[Gesamt LC],0)," ")</f>
        <v xml:space="preserve"> </v>
      </c>
      <c r="AH32" s="23">
        <f>MAX( Z32,AF32)</f>
        <v>884.74705111402363</v>
      </c>
      <c r="AI32" s="9"/>
      <c r="AJ32" s="12" t="str">
        <f>IF(Table13[[#This Row],[Zeit BZF]]&gt;0,_xlfn.RANK.EQ(Table13[[#This Row],[Punkte BZF]],Table13[Punkte BZF],0)," ")</f>
        <v xml:space="preserve"> </v>
      </c>
      <c r="AK32" s="10">
        <f>IF(Table13[[#This Row],[Zeit BZF]]&gt;0,MIN(Table13[Zeit BZF])/Table13[[#This Row],[Zeit BZF]]*1000,0)</f>
        <v>0</v>
      </c>
      <c r="AL32" s="8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32" s="7">
        <f>(Table13[[#This Row],[Punkte BZF]]+Table13[[#This Row],[Bonus BZF]])</f>
        <v>0</v>
      </c>
      <c r="AN32" s="15" t="str">
        <f>IF(Table13[[#This Row],[Zeit BZF]]&gt;0,_xlfn.RANK.EQ(Table13[[#This Row],[Gesamt BZF]],Table13[Gesamt BZF],0)," ")</f>
        <v xml:space="preserve"> </v>
      </c>
      <c r="AO32" s="9"/>
      <c r="AP32" s="12" t="str">
        <f>IF(Table13[[#This Row],[Zeit EZF]]&gt;0,_xlfn.RANK.EQ(Table13[[#This Row],[Punkte EZF]],Table13[Punkte EZF],0)," ")</f>
        <v xml:space="preserve"> </v>
      </c>
      <c r="AQ32" s="10">
        <f>IF(Table13[[#This Row],[Zeit EZF]]&gt;0,MIN(Table13[Zeit EZF])/Table13[[#This Row],[Zeit EZF]]*1000,0)</f>
        <v>0</v>
      </c>
      <c r="AR32" s="8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32" s="7">
        <f>(Table13[[#This Row],[Punkte EZF]]+Table13[[#This Row],[Bonus EZF]])</f>
        <v>0</v>
      </c>
      <c r="AT32" s="15" t="str">
        <f>IF(Table13[[#This Row],[Zeit EZF]]&gt;0,_xlfn.RANK.EQ(Table13[[#This Row],[Gesamt EZF]],Table13[Gesamt EZF],0)," ")</f>
        <v xml:space="preserve"> </v>
      </c>
      <c r="AU32" s="26">
        <f t="shared" ref="AU32" si="8">MAX( AM32,AS32)</f>
        <v>0</v>
      </c>
    </row>
    <row r="33" spans="1:47" x14ac:dyDescent="0.25">
      <c r="A33" s="1" t="s">
        <v>111</v>
      </c>
      <c r="B33" s="1" t="s">
        <v>90</v>
      </c>
      <c r="C33" s="5"/>
      <c r="D33" s="5">
        <v>2003</v>
      </c>
      <c r="E33" s="6">
        <f>IF(Table13[[#This Row],[JG]],2024-Table13[[#This Row],[JG]],0)</f>
        <v>21</v>
      </c>
      <c r="F33" s="4" t="s">
        <v>34</v>
      </c>
      <c r="G33" s="49">
        <f t="shared" si="0"/>
        <v>876.40449438202245</v>
      </c>
      <c r="H33" s="35">
        <f>_xlfn.RANK.EQ(Table13[[#This Row],[Gesamtpunkte]],Table13[Gesamtpunkte],0)</f>
        <v>31</v>
      </c>
      <c r="I33" s="14"/>
      <c r="J33" s="13" t="str">
        <f>IF(Table13[[#This Row],[Zeit LSC]]&gt;0,_xlfn.RANK.EQ(Table13[[#This Row],[Punkte LSC]],Table13[Punkte LSC],0)," ")</f>
        <v xml:space="preserve"> </v>
      </c>
      <c r="K33" s="10">
        <f>IF(Table13[[#This Row],[Zeit LSC]]&gt;0,MIN(Table13[Zeit LSC])/Table13[[#This Row],[Zeit LSC]]*1000,0)</f>
        <v>0</v>
      </c>
      <c r="L33" s="1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33" s="10">
        <f>(Table13[[#This Row],[Punkte LSC]]+Table13[[#This Row],[Bonus LSC]])</f>
        <v>0</v>
      </c>
      <c r="N33" s="15" t="str">
        <f>IF(Table13[[#This Row],[Zeit LSC]]&gt;0,_xlfn.RANK.EQ(Table13[[#This Row],[Gesamt LSC]],Table13[Gesamt LSC],0)," ")</f>
        <v xml:space="preserve"> </v>
      </c>
      <c r="O33" s="9"/>
      <c r="P33" s="5" t="str">
        <f>IF(Table13[[#This Row],[Zeit LKC]]&gt;0,_xlfn.RANK.EQ(Table13[[#This Row],[Punkte LKC]],Table13[Punkte LKC],0)," ")</f>
        <v xml:space="preserve"> </v>
      </c>
      <c r="Q33" s="16">
        <f>IF(Table13[[#This Row],[Zeit LKC]]&gt;0,MIN(Table13[Zeit LKC])/Table13[[#This Row],[Zeit LKC]]*1000,0)</f>
        <v>0</v>
      </c>
      <c r="R33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33" s="16">
        <f>(Table13[[#This Row],[Punkte LKC]]+Table13[[#This Row],[Bonus LKC]])</f>
        <v>0</v>
      </c>
      <c r="T33" s="18" t="str">
        <f>IF(Table13[[#This Row],[Zeit LKC]]&gt;0,_xlfn.RANK.EQ(Table13[[#This Row],[Gesamt LKC]],Table13[Gesamt LKC],0)," ")</f>
        <v xml:space="preserve"> </v>
      </c>
      <c r="U33" s="23">
        <f>MAX( S33,M33)</f>
        <v>0</v>
      </c>
      <c r="V33" s="14"/>
      <c r="W33" s="12" t="str">
        <f>IF(Table13[[#This Row],[Zeit S&amp;R]]&gt;0,_xlfn.RANK.EQ(Table13[[#This Row],[Punkte S&amp;R]],Table13[Punkte S&amp;R],0)," ")</f>
        <v xml:space="preserve"> </v>
      </c>
      <c r="X33" s="10">
        <f>IF(Table13[[#This Row],[Zeit S&amp;R]]&gt;0,MIN(Table13[Zeit S&amp;R])/Table13[[#This Row],[Zeit S&amp;R]]*1000,0)</f>
        <v>0</v>
      </c>
      <c r="Y33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33" s="10">
        <f>(Table13[[#This Row],[Punkte S&amp;R]]+Table13[[#This Row],[Bonus S&amp;R]])</f>
        <v>0</v>
      </c>
      <c r="AA33" s="15" t="str">
        <f>IF(Table13[[#This Row],[Zeit S&amp;R]]&gt;0,_xlfn.RANK.EQ(Table13[[#This Row],[Gesamt S&amp;R]],Table13[Gesamt S&amp;R],0)," ")</f>
        <v xml:space="preserve"> </v>
      </c>
      <c r="AB33" s="14"/>
      <c r="AC33" s="15" t="str">
        <f>IF(Table13[[#This Row],[Zeit LC]]&gt;0,_xlfn.RANK.EQ(Table13[[#This Row],[Punkte LC]],Table13[Punkte LC],0)," ")</f>
        <v xml:space="preserve"> </v>
      </c>
      <c r="AD33" s="10">
        <f>IF(Table13[[#This Row],[Zeit LC]]&gt;0,MIN(Table13[Zeit LC])/Table13[[#This Row],[Zeit LC]]*1000,0)</f>
        <v>0</v>
      </c>
      <c r="AE33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33" s="10">
        <f>(Table13[[#This Row],[Punkte LC]]+Table13[[#This Row],[Bonus LC]])</f>
        <v>0</v>
      </c>
      <c r="AG33" s="15" t="str">
        <f>IF(Table13[[#This Row],[Zeit LC]]&gt;0,_xlfn.RANK.EQ(Table13[[#This Row],[Gesamt LC]],Table13[Gesamt LC],0)," ")</f>
        <v xml:space="preserve"> </v>
      </c>
      <c r="AH33" s="23">
        <f>MAX( Z33,AF33)</f>
        <v>0</v>
      </c>
      <c r="AI33" s="14">
        <v>1.4421296296296295E-2</v>
      </c>
      <c r="AJ33" s="12">
        <f>IF(Table13[[#This Row],[Zeit BZF]]&gt;0,_xlfn.RANK.EQ(Table13[[#This Row],[Punkte BZF]],Table13[Punkte BZF],0)," ")</f>
        <v>6</v>
      </c>
      <c r="AK33" s="10">
        <f>IF(Table13[[#This Row],[Zeit BZF]]&gt;0,MIN(Table13[Zeit BZF])/Table13[[#This Row],[Zeit BZF]]*1000,0)</f>
        <v>876.40449438202245</v>
      </c>
      <c r="AL33" s="8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33" s="10">
        <f>(Table13[[#This Row],[Punkte BZF]]+Table13[[#This Row],[Bonus BZF]])</f>
        <v>876.40449438202245</v>
      </c>
      <c r="AN33" s="15">
        <f>IF(Table13[[#This Row],[Zeit BZF]]&gt;0,_xlfn.RANK.EQ(Table13[[#This Row],[Gesamt BZF]],Table13[Gesamt BZF],0)," ")</f>
        <v>8</v>
      </c>
      <c r="AO33" s="14"/>
      <c r="AP33" s="12" t="str">
        <f>IF(Table13[[#This Row],[Zeit EZF]]&gt;0,_xlfn.RANK.EQ(Table13[[#This Row],[Punkte EZF]],Table13[Punkte EZF],0)," ")</f>
        <v xml:space="preserve"> </v>
      </c>
      <c r="AQ33" s="10">
        <f>IF(Table13[[#This Row],[Zeit EZF]]&gt;0,MIN(Table13[Zeit EZF])/Table13[[#This Row],[Zeit EZF]]*1000,0)</f>
        <v>0</v>
      </c>
      <c r="AR33" s="8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33" s="10">
        <f>(Table13[[#This Row],[Punkte EZF]]+Table13[[#This Row],[Bonus EZF]])</f>
        <v>0</v>
      </c>
      <c r="AT33" s="15" t="str">
        <f>IF(Table13[[#This Row],[Zeit EZF]]&gt;0,_xlfn.RANK.EQ(Table13[[#This Row],[Gesamt EZF]],Table13[Gesamt EZF],0)," ")</f>
        <v xml:space="preserve"> </v>
      </c>
      <c r="AU33" s="26">
        <f t="shared" si="7"/>
        <v>876.40449438202245</v>
      </c>
    </row>
    <row r="34" spans="1:47" x14ac:dyDescent="0.25">
      <c r="A34" s="1" t="s">
        <v>169</v>
      </c>
      <c r="B34" s="1" t="s">
        <v>170</v>
      </c>
      <c r="C34" s="5"/>
      <c r="D34" s="5">
        <v>1996</v>
      </c>
      <c r="E34" s="6">
        <f>IF(Table13[[#This Row],[JG]],2024-Table13[[#This Row],[JG]],0)</f>
        <v>28</v>
      </c>
      <c r="F34" s="5"/>
      <c r="G34" s="49">
        <f t="shared" si="0"/>
        <v>875.55775904809127</v>
      </c>
      <c r="H34" s="35">
        <f>_xlfn.RANK.EQ(Table13[[#This Row],[Gesamtpunkte]],Table13[Gesamtpunkte],0)</f>
        <v>32</v>
      </c>
      <c r="I34" s="28"/>
      <c r="J34" s="29" t="str">
        <f>IF(Table13[[#This Row],[Zeit LSC]]&gt;0,_xlfn.RANK.EQ(Table13[[#This Row],[Punkte LSC]],Table13[Punkte LSC],0)," ")</f>
        <v xml:space="preserve"> </v>
      </c>
      <c r="K34" s="30">
        <f>IF(Table13[[#This Row],[Zeit LSC]]&gt;0,MIN(Table13[Zeit LSC])/Table13[[#This Row],[Zeit LSC]]*1000,0)</f>
        <v>0</v>
      </c>
      <c r="L34" s="3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34" s="30">
        <f>(Table13[[#This Row],[Punkte LSC]]+Table13[[#This Row],[Bonus LSC]])</f>
        <v>0</v>
      </c>
      <c r="N34" s="32" t="str">
        <f>IF(Table13[[#This Row],[Zeit LSC]]&gt;0,_xlfn.RANK.EQ(Table13[[#This Row],[Gesamt LSC]],Table13[Gesamt LSC],0)," ")</f>
        <v xml:space="preserve"> </v>
      </c>
      <c r="O34" s="34"/>
      <c r="P34" s="6" t="str">
        <f>IF(Table13[[#This Row],[Zeit LKC]]&gt;0,_xlfn.RANK.EQ(Table13[[#This Row],[Punkte LKC]],Table13[Punkte LKC],0)," ")</f>
        <v xml:space="preserve"> </v>
      </c>
      <c r="Q34" s="16">
        <f>IF(Table13[[#This Row],[Zeit LKC]]&gt;0,MIN(Table13[Zeit LKC])/Table13[[#This Row],[Zeit LKC]]*1000,0)</f>
        <v>0</v>
      </c>
      <c r="R34" s="33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34" s="19">
        <f>(Table13[[#This Row],[Punkte LKC]]+Table13[[#This Row],[Bonus LKC]])</f>
        <v>0</v>
      </c>
      <c r="T34" s="25" t="str">
        <f>IF(Table13[[#This Row],[Zeit LKC]]&gt;0,_xlfn.RANK.EQ(Table13[[#This Row],[Gesamt LKC]],Table13[Gesamt LKC],0)," ")</f>
        <v xml:space="preserve"> </v>
      </c>
      <c r="U34" s="23">
        <f>MAX( S34,M34)</f>
        <v>0</v>
      </c>
      <c r="V34" s="14"/>
      <c r="W34" s="12" t="str">
        <f>IF(Table13[[#This Row],[Zeit S&amp;R]]&gt;0,_xlfn.RANK.EQ(Table13[[#This Row],[Punkte S&amp;R]],Table13[Punkte S&amp;R],0)," ")</f>
        <v xml:space="preserve"> </v>
      </c>
      <c r="X34" s="10">
        <f>IF(Table13[[#This Row],[Zeit S&amp;R]]&gt;0,MIN(Table13[Zeit S&amp;R])/Table13[[#This Row],[Zeit S&amp;R]]*1000,0)</f>
        <v>0</v>
      </c>
      <c r="Y34" s="11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34" s="10">
        <f>(Table13[[#This Row],[Punkte S&amp;R]]+Table13[[#This Row],[Bonus S&amp;R]])</f>
        <v>0</v>
      </c>
      <c r="AA34" s="21" t="str">
        <f>IF(Table13[[#This Row],[Zeit S&amp;R]]&gt;0,_xlfn.RANK.EQ(Table13[[#This Row],[Gesamt S&amp;R]],Table13[Gesamt S&amp;R],0)," ")</f>
        <v xml:space="preserve"> </v>
      </c>
      <c r="AB34" s="14"/>
      <c r="AC34" s="21" t="str">
        <f>IF(Table13[[#This Row],[Zeit LC]]&gt;0,_xlfn.RANK.EQ(Table13[[#This Row],[Punkte LC]],Table13[Punkte LC],0)," ")</f>
        <v xml:space="preserve"> </v>
      </c>
      <c r="AD34" s="10">
        <f>IF(Table13[[#This Row],[Zeit LC]]&gt;0,MIN(Table13[Zeit LC])/Table13[[#This Row],[Zeit LC]]*1000,0)</f>
        <v>0</v>
      </c>
      <c r="AE34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34" s="10">
        <f>(Table13[[#This Row],[Punkte LC]]+Table13[[#This Row],[Bonus LC]])</f>
        <v>0</v>
      </c>
      <c r="AG34" s="21" t="str">
        <f>IF(Table13[[#This Row],[Zeit LC]]&gt;0,_xlfn.RANK.EQ(Table13[[#This Row],[Gesamt LC]],Table13[Gesamt LC],0)," ")</f>
        <v xml:space="preserve"> </v>
      </c>
      <c r="AH34" s="23">
        <f>MAX( Z34,AF34)</f>
        <v>0</v>
      </c>
      <c r="AI34" s="14"/>
      <c r="AJ34" s="12" t="str">
        <f>IF(Table13[[#This Row],[Zeit BZF]]&gt;0,_xlfn.RANK.EQ(Table13[[#This Row],[Punkte BZF]],Table13[Punkte BZF],0)," ")</f>
        <v xml:space="preserve"> </v>
      </c>
      <c r="AK34" s="10">
        <f>IF(Table13[[#This Row],[Zeit BZF]]&gt;0,MIN(Table13[Zeit BZF])/Table13[[#This Row],[Zeit BZF]]*1000,0)</f>
        <v>0</v>
      </c>
      <c r="AL34" s="11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34" s="10">
        <f>(Table13[[#This Row],[Punkte BZF]]+Table13[[#This Row],[Bonus BZF]])</f>
        <v>0</v>
      </c>
      <c r="AN34" s="21" t="str">
        <f>IF(Table13[[#This Row],[Zeit BZF]]&gt;0,_xlfn.RANK.EQ(Table13[[#This Row],[Gesamt BZF]],Table13[Gesamt BZF],0)," ")</f>
        <v xml:space="preserve"> </v>
      </c>
      <c r="AO34" s="14">
        <v>2.3344907407407408E-2</v>
      </c>
      <c r="AP34" s="12">
        <f>IF(Table13[[#This Row],[Zeit EZF]]&gt;0,_xlfn.RANK.EQ(Table13[[#This Row],[Punkte EZF]],Table13[Punkte EZF],0)," ")</f>
        <v>14</v>
      </c>
      <c r="AQ34" s="10">
        <f>IF(Table13[[#This Row],[Zeit EZF]]&gt;0,MIN(Table13[Zeit EZF])/Table13[[#This Row],[Zeit EZF]]*1000,0)</f>
        <v>875.55775904809127</v>
      </c>
      <c r="AR34" s="11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34" s="10">
        <f>(Table13[[#This Row],[Punkte EZF]]+Table13[[#This Row],[Bonus EZF]])</f>
        <v>875.55775904809127</v>
      </c>
      <c r="AT34" s="21">
        <f>IF(Table13[[#This Row],[Zeit EZF]]&gt;0,_xlfn.RANK.EQ(Table13[[#This Row],[Gesamt EZF]],Table13[Gesamt EZF],0)," ")</f>
        <v>15</v>
      </c>
      <c r="AU34" s="26">
        <f t="shared" ref="AU34:AU35" si="9">MAX( AM34,AS34)</f>
        <v>875.55775904809127</v>
      </c>
    </row>
    <row r="35" spans="1:47" x14ac:dyDescent="0.25">
      <c r="A35" s="27" t="s">
        <v>82</v>
      </c>
      <c r="B35" s="1" t="s">
        <v>83</v>
      </c>
      <c r="C35" s="5"/>
      <c r="D35" s="5">
        <v>1995</v>
      </c>
      <c r="E35" s="6">
        <f>IF(Table13[[#This Row],[JG]],2024-Table13[[#This Row],[JG]],0)</f>
        <v>29</v>
      </c>
      <c r="F35" s="5"/>
      <c r="G35" s="49">
        <f t="shared" si="0"/>
        <v>875.12388503468787</v>
      </c>
      <c r="H35" s="35">
        <f>_xlfn.RANK.EQ(Table13[[#This Row],[Gesamtpunkte]],Table13[Gesamtpunkte],0)</f>
        <v>33</v>
      </c>
      <c r="I35" s="28"/>
      <c r="J35" s="29" t="str">
        <f>IF(Table13[[#This Row],[Zeit LSC]]&gt;0,_xlfn.RANK.EQ(Table13[[#This Row],[Punkte LSC]],Table13[Punkte LSC],0)," ")</f>
        <v xml:space="preserve"> </v>
      </c>
      <c r="K35" s="30">
        <f>IF(Table13[[#This Row],[Zeit LSC]]&gt;0,MIN(Table13[Zeit LSC])/Table13[[#This Row],[Zeit LSC]]*1000,0)</f>
        <v>0</v>
      </c>
      <c r="L35" s="3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35" s="30">
        <f>(Table13[[#This Row],[Punkte LSC]]+Table13[[#This Row],[Bonus LSC]])</f>
        <v>0</v>
      </c>
      <c r="N35" s="32" t="str">
        <f>IF(Table13[[#This Row],[Zeit LSC]]&gt;0,_xlfn.RANK.EQ(Table13[[#This Row],[Gesamt LSC]],Table13[Gesamt LSC],0)," ")</f>
        <v xml:space="preserve"> </v>
      </c>
      <c r="O35" s="34"/>
      <c r="P35" s="6" t="str">
        <f>IF(Table13[[#This Row],[Zeit LKC]]&gt;0,_xlfn.RANK.EQ(Table13[[#This Row],[Punkte LKC]],Table13[Punkte LKC],0)," ")</f>
        <v xml:space="preserve"> </v>
      </c>
      <c r="Q35" s="16">
        <f>IF(Table13[[#This Row],[Zeit LKC]]&gt;0,MIN(Table13[Zeit LKC])/Table13[[#This Row],[Zeit LKC]]*1000,0)</f>
        <v>0</v>
      </c>
      <c r="R35" s="33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35" s="19">
        <f>(Table13[[#This Row],[Punkte LKC]]+Table13[[#This Row],[Bonus LKC]])</f>
        <v>0</v>
      </c>
      <c r="T35" s="19" t="str">
        <f>IF(Table13[[#This Row],[Zeit LKC]]&gt;0,_xlfn.RANK.EQ(Table13[[#This Row],[Gesamt LKC]],Table13[Gesamt LKC],0)," ")</f>
        <v xml:space="preserve"> </v>
      </c>
      <c r="U35" s="23">
        <f>MAX( S35,M35)</f>
        <v>0</v>
      </c>
      <c r="V35" s="9"/>
      <c r="W35" s="12" t="str">
        <f>IF(Table13[[#This Row],[Zeit S&amp;R]]&gt;0,_xlfn.RANK.EQ(Table13[[#This Row],[Punkte S&amp;R]],Table13[Punkte S&amp;R],0)," ")</f>
        <v xml:space="preserve"> </v>
      </c>
      <c r="X35" s="10">
        <f>IF(Table13[[#This Row],[Zeit S&amp;R]]&gt;0,MIN(Table13[Zeit S&amp;R])/Table13[[#This Row],[Zeit S&amp;R]]*1000,0)</f>
        <v>0</v>
      </c>
      <c r="Y35" s="11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35" s="10">
        <f>(Table13[[#This Row],[Punkte S&amp;R]]+Table13[[#This Row],[Bonus S&amp;R]])</f>
        <v>0</v>
      </c>
      <c r="AA35" s="21" t="str">
        <f>IF(Table13[[#This Row],[Zeit S&amp;R]]&gt;0,_xlfn.RANK.EQ(Table13[[#This Row],[Gesamt S&amp;R]],Table13[Gesamt S&amp;R],0)," ")</f>
        <v xml:space="preserve"> </v>
      </c>
      <c r="AB35" s="14"/>
      <c r="AC35" s="21" t="str">
        <f>IF(Table13[[#This Row],[Zeit LC]]&gt;0,_xlfn.RANK.EQ(Table13[[#This Row],[Punkte LC]],Table13[Punkte LC],0)," ")</f>
        <v xml:space="preserve"> </v>
      </c>
      <c r="AD35" s="10">
        <f>IF(Table13[[#This Row],[Zeit LC]]&gt;0,MIN(Table13[Zeit LC])/Table13[[#This Row],[Zeit LC]]*1000,0)</f>
        <v>0</v>
      </c>
      <c r="AE35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35" s="10">
        <f>(Table13[[#This Row],[Punkte LC]]+Table13[[#This Row],[Bonus LC]])</f>
        <v>0</v>
      </c>
      <c r="AG35" s="21" t="str">
        <f>IF(Table13[[#This Row],[Zeit LC]]&gt;0,_xlfn.RANK.EQ(Table13[[#This Row],[Gesamt LC]],Table13[Gesamt LC],0)," ")</f>
        <v xml:space="preserve"> </v>
      </c>
      <c r="AH35" s="23">
        <f>MAX( Z35,AF35)</f>
        <v>0</v>
      </c>
      <c r="AI35" s="14"/>
      <c r="AJ35" s="12" t="str">
        <f>IF(Table13[[#This Row],[Zeit BZF]]&gt;0,_xlfn.RANK.EQ(Table13[[#This Row],[Punkte BZF]],Table13[Punkte BZF],0)," ")</f>
        <v xml:space="preserve"> </v>
      </c>
      <c r="AK35" s="10">
        <f>IF(Table13[[#This Row],[Zeit BZF]]&gt;0,MIN(Table13[Zeit BZF])/Table13[[#This Row],[Zeit BZF]]*1000,0)</f>
        <v>0</v>
      </c>
      <c r="AL35" s="11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35" s="10">
        <f>(Table13[[#This Row],[Punkte BZF]]+Table13[[#This Row],[Bonus BZF]])</f>
        <v>0</v>
      </c>
      <c r="AN35" s="21" t="str">
        <f>IF(Table13[[#This Row],[Zeit BZF]]&gt;0,_xlfn.RANK.EQ(Table13[[#This Row],[Gesamt BZF]],Table13[Gesamt BZF],0)," ")</f>
        <v xml:space="preserve"> </v>
      </c>
      <c r="AO35" s="14">
        <v>2.3356481481481482E-2</v>
      </c>
      <c r="AP35" s="12">
        <f>IF(Table13[[#This Row],[Zeit EZF]]&gt;0,_xlfn.RANK.EQ(Table13[[#This Row],[Punkte EZF]],Table13[Punkte EZF],0)," ")</f>
        <v>15</v>
      </c>
      <c r="AQ35" s="10">
        <f>IF(Table13[[#This Row],[Zeit EZF]]&gt;0,MIN(Table13[Zeit EZF])/Table13[[#This Row],[Zeit EZF]]*1000,0)</f>
        <v>875.12388503468787</v>
      </c>
      <c r="AR35" s="11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35" s="10">
        <f>(Table13[[#This Row],[Punkte EZF]]+Table13[[#This Row],[Bonus EZF]])</f>
        <v>875.12388503468787</v>
      </c>
      <c r="AT35" s="21">
        <f>IF(Table13[[#This Row],[Zeit EZF]]&gt;0,_xlfn.RANK.EQ(Table13[[#This Row],[Gesamt EZF]],Table13[Gesamt EZF],0)," ")</f>
        <v>16</v>
      </c>
      <c r="AU35" s="26">
        <f t="shared" si="9"/>
        <v>875.12388503468787</v>
      </c>
    </row>
    <row r="36" spans="1:47" x14ac:dyDescent="0.25">
      <c r="A36" s="1" t="s">
        <v>86</v>
      </c>
      <c r="B36" s="1" t="s">
        <v>87</v>
      </c>
      <c r="C36" s="5"/>
      <c r="D36" s="5">
        <v>1998</v>
      </c>
      <c r="E36" s="6">
        <f>IF(Table13[[#This Row],[JG]],2024-Table13[[#This Row],[JG]],0)</f>
        <v>26</v>
      </c>
      <c r="F36" s="4" t="s">
        <v>34</v>
      </c>
      <c r="G36" s="49">
        <f t="shared" si="0"/>
        <v>853.125</v>
      </c>
      <c r="H36" s="35">
        <f>_xlfn.RANK.EQ(Table13[[#This Row],[Gesamtpunkte]],Table13[Gesamtpunkte],0)</f>
        <v>34</v>
      </c>
      <c r="I36" s="14"/>
      <c r="J36" s="13" t="str">
        <f>IF(Table13[[#This Row],[Zeit LSC]]&gt;0,_xlfn.RANK.EQ(Table13[[#This Row],[Punkte LSC]],Table13[Punkte LSC],0)," ")</f>
        <v xml:space="preserve"> </v>
      </c>
      <c r="K36" s="10">
        <f>IF(Table13[[#This Row],[Zeit LSC]]&gt;0,MIN(Table13[Zeit LSC])/Table13[[#This Row],[Zeit LSC]]*1000,0)</f>
        <v>0</v>
      </c>
      <c r="L36" s="1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36" s="10">
        <f>(Table13[[#This Row],[Punkte LSC]]+Table13[[#This Row],[Bonus LSC]])</f>
        <v>0</v>
      </c>
      <c r="N36" s="15" t="str">
        <f>IF(Table13[[#This Row],[Zeit LSC]]&gt;0,_xlfn.RANK.EQ(Table13[[#This Row],[Gesamt LSC]],Table13[Gesamt LSC],0)," ")</f>
        <v xml:space="preserve"> </v>
      </c>
      <c r="O36" s="9"/>
      <c r="P36" s="5" t="str">
        <f>IF(Table13[[#This Row],[Zeit LKC]]&gt;0,_xlfn.RANK.EQ(Table13[[#This Row],[Punkte LKC]],Table13[Punkte LKC],0)," ")</f>
        <v xml:space="preserve"> </v>
      </c>
      <c r="Q36" s="16">
        <f>IF(Table13[[#This Row],[Zeit LKC]]&gt;0,MIN(Table13[Zeit LKC])/Table13[[#This Row],[Zeit LKC]]*1000,0)</f>
        <v>0</v>
      </c>
      <c r="R36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36" s="16">
        <f>(Table13[[#This Row],[Punkte LKC]]+Table13[[#This Row],[Bonus LKC]])</f>
        <v>0</v>
      </c>
      <c r="T36" s="18" t="str">
        <f>IF(Table13[[#This Row],[Zeit LKC]]&gt;0,_xlfn.RANK.EQ(Table13[[#This Row],[Gesamt LKC]],Table13[Gesamt LKC],0)," ")</f>
        <v xml:space="preserve"> </v>
      </c>
      <c r="U36" s="23">
        <f>MAX( S36,M36)</f>
        <v>0</v>
      </c>
      <c r="V36" s="14"/>
      <c r="W36" s="12" t="str">
        <f>IF(Table13[[#This Row],[Zeit S&amp;R]]&gt;0,_xlfn.RANK.EQ(Table13[[#This Row],[Punkte S&amp;R]],Table13[Punkte S&amp;R],0)," ")</f>
        <v xml:space="preserve"> </v>
      </c>
      <c r="X36" s="10">
        <f>IF(Table13[[#This Row],[Zeit S&amp;R]]&gt;0,MIN(Table13[Zeit S&amp;R])/Table13[[#This Row],[Zeit S&amp;R]]*1000,0)</f>
        <v>0</v>
      </c>
      <c r="Y36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36" s="10">
        <f>(Table13[[#This Row],[Punkte S&amp;R]]+Table13[[#This Row],[Bonus S&amp;R]])</f>
        <v>0</v>
      </c>
      <c r="AA36" s="15" t="str">
        <f>IF(Table13[[#This Row],[Zeit S&amp;R]]&gt;0,_xlfn.RANK.EQ(Table13[[#This Row],[Gesamt S&amp;R]],Table13[Gesamt S&amp;R],0)," ")</f>
        <v xml:space="preserve"> </v>
      </c>
      <c r="AB36" s="14"/>
      <c r="AC36" s="15" t="str">
        <f>IF(Table13[[#This Row],[Zeit LC]]&gt;0,_xlfn.RANK.EQ(Table13[[#This Row],[Punkte LC]],Table13[Punkte LC],0)," ")</f>
        <v xml:space="preserve"> </v>
      </c>
      <c r="AD36" s="10">
        <f>IF(Table13[[#This Row],[Zeit LC]]&gt;0,MIN(Table13[Zeit LC])/Table13[[#This Row],[Zeit LC]]*1000,0)</f>
        <v>0</v>
      </c>
      <c r="AE36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36" s="10">
        <f>(Table13[[#This Row],[Punkte LC]]+Table13[[#This Row],[Bonus LC]])</f>
        <v>0</v>
      </c>
      <c r="AG36" s="15" t="str">
        <f>IF(Table13[[#This Row],[Zeit LC]]&gt;0,_xlfn.RANK.EQ(Table13[[#This Row],[Gesamt LC]],Table13[Gesamt LC],0)," ")</f>
        <v xml:space="preserve"> </v>
      </c>
      <c r="AH36" s="23">
        <f>MAX( Z36,AF36)</f>
        <v>0</v>
      </c>
      <c r="AI36" s="9">
        <v>1.4814814814814814E-2</v>
      </c>
      <c r="AJ36" s="12">
        <f>IF(Table13[[#This Row],[Zeit BZF]]&gt;0,_xlfn.RANK.EQ(Table13[[#This Row],[Punkte BZF]],Table13[Punkte BZF],0)," ")</f>
        <v>8</v>
      </c>
      <c r="AK36" s="10">
        <f>IF(Table13[[#This Row],[Zeit BZF]]&gt;0,MIN(Table13[Zeit BZF])/Table13[[#This Row],[Zeit BZF]]*1000,0)</f>
        <v>853.125</v>
      </c>
      <c r="AL36" s="8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36" s="10">
        <f>(Table13[[#This Row],[Punkte BZF]]+Table13[[#This Row],[Bonus BZF]])</f>
        <v>853.125</v>
      </c>
      <c r="AN36" s="15">
        <f>IF(Table13[[#This Row],[Zeit BZF]]&gt;0,_xlfn.RANK.EQ(Table13[[#This Row],[Gesamt BZF]],Table13[Gesamt BZF],0)," ")</f>
        <v>10</v>
      </c>
      <c r="AO36" s="14"/>
      <c r="AP36" s="12" t="str">
        <f>IF(Table13[[#This Row],[Zeit EZF]]&gt;0,_xlfn.RANK.EQ(Table13[[#This Row],[Punkte EZF]],Table13[Punkte EZF],0)," ")</f>
        <v xml:space="preserve"> </v>
      </c>
      <c r="AQ36" s="10">
        <f>IF(Table13[[#This Row],[Zeit EZF]]&gt;0,MIN(Table13[Zeit EZF])/Table13[[#This Row],[Zeit EZF]]*1000,0)</f>
        <v>0</v>
      </c>
      <c r="AR36" s="8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36" s="10">
        <f>(Table13[[#This Row],[Punkte EZF]]+Table13[[#This Row],[Bonus EZF]])</f>
        <v>0</v>
      </c>
      <c r="AT36" s="15" t="str">
        <f>IF(Table13[[#This Row],[Zeit EZF]]&gt;0,_xlfn.RANK.EQ(Table13[[#This Row],[Gesamt EZF]],Table13[Gesamt EZF],0)," ")</f>
        <v xml:space="preserve"> </v>
      </c>
      <c r="AU36" s="26">
        <f t="shared" si="7"/>
        <v>853.125</v>
      </c>
    </row>
    <row r="37" spans="1:47" x14ac:dyDescent="0.25">
      <c r="A37" s="1" t="s">
        <v>171</v>
      </c>
      <c r="B37" s="1" t="s">
        <v>172</v>
      </c>
      <c r="C37" s="4">
        <v>1</v>
      </c>
      <c r="D37" s="4">
        <v>1991</v>
      </c>
      <c r="E37" s="4">
        <f>IF(Table13[[#This Row],[JG]],2024-Table13[[#This Row],[JG]],0)</f>
        <v>33</v>
      </c>
      <c r="F37" s="4"/>
      <c r="G37" s="49">
        <f t="shared" si="0"/>
        <v>835.38315988647128</v>
      </c>
      <c r="H37" s="35">
        <f>_xlfn.RANK.EQ(Table13[[#This Row],[Gesamtpunkte]],Table13[Gesamtpunkte],0)</f>
        <v>35</v>
      </c>
      <c r="I37" s="9"/>
      <c r="J37" s="13" t="str">
        <f>IF(Table13[[#This Row],[Zeit LSC]]&gt;0,_xlfn.RANK.EQ(Table13[[#This Row],[Punkte LSC]],Table13[Punkte LSC],0)," ")</f>
        <v xml:space="preserve"> </v>
      </c>
      <c r="K37" s="7">
        <f>IF(Table13[[#This Row],[Zeit LSC]]&gt;0,MIN(Table13[Zeit LSC])/Table13[[#This Row],[Zeit LSC]]*1000,0)</f>
        <v>0</v>
      </c>
      <c r="L37" s="8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37" s="7">
        <f>(Table13[[#This Row],[Punkte LSC]]+Table13[[#This Row],[Bonus LSC]])</f>
        <v>0</v>
      </c>
      <c r="N37" s="15" t="str">
        <f>IF(Table13[[#This Row],[Zeit LSC]]&gt;0,_xlfn.RANK.EQ(Table13[[#This Row],[Gesamt LSC]],Table13[Gesamt LSC],0)," ")</f>
        <v xml:space="preserve"> </v>
      </c>
      <c r="O37" s="9"/>
      <c r="P37" s="4" t="str">
        <f>IF(Table13[[#This Row],[Zeit LKC]]&gt;0,_xlfn.RANK.EQ(Table13[[#This Row],[Punkte LKC]],Table13[Punkte LKC],0)," ")</f>
        <v xml:space="preserve"> </v>
      </c>
      <c r="Q37" s="16">
        <f>IF(Table13[[#This Row],[Zeit LKC]]&gt;0,MIN(Table13[Zeit LKC])/Table13[[#This Row],[Zeit LKC]]*1000,0)</f>
        <v>0</v>
      </c>
      <c r="R37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37" s="16">
        <f>(Table13[[#This Row],[Punkte LKC]]+Table13[[#This Row],[Bonus LKC]])</f>
        <v>0</v>
      </c>
      <c r="T37" s="18" t="str">
        <f>IF(Table13[[#This Row],[Zeit LKC]]&gt;0,_xlfn.RANK.EQ(Table13[[#This Row],[Gesamt LKC]],Table13[Gesamt LKC],0)," ")</f>
        <v xml:space="preserve"> </v>
      </c>
      <c r="U37" s="23">
        <f>MAX( S37,M37)</f>
        <v>0</v>
      </c>
      <c r="V37" s="9"/>
      <c r="W37" s="12" t="str">
        <f>IF(Table13[[#This Row],[Zeit S&amp;R]]&gt;0,_xlfn.RANK.EQ(Table13[[#This Row],[Punkte S&amp;R]],Table13[Punkte S&amp;R],0)," ")</f>
        <v xml:space="preserve"> </v>
      </c>
      <c r="X37" s="7">
        <f>IF(Table13[[#This Row],[Zeit S&amp;R]]&gt;0,MIN(Table13[Zeit S&amp;R])/Table13[[#This Row],[Zeit S&amp;R]]*1000,0)</f>
        <v>0</v>
      </c>
      <c r="Y37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37" s="7">
        <f>(Table13[[#This Row],[Punkte S&amp;R]]+Table13[[#This Row],[Bonus S&amp;R]])</f>
        <v>0</v>
      </c>
      <c r="AA37" s="15" t="str">
        <f>IF(Table13[[#This Row],[Zeit S&amp;R]]&gt;0,_xlfn.RANK.EQ(Table13[[#This Row],[Gesamt S&amp;R]],Table13[Gesamt S&amp;R],0)," ")</f>
        <v xml:space="preserve"> </v>
      </c>
      <c r="AB37" s="9"/>
      <c r="AC37" s="15" t="str">
        <f>IF(Table13[[#This Row],[Zeit LC]]&gt;0,_xlfn.RANK.EQ(Table13[[#This Row],[Punkte LC]],Table13[Punkte LC],0)," ")</f>
        <v xml:space="preserve"> </v>
      </c>
      <c r="AD37" s="7">
        <f>IF(Table13[[#This Row],[Zeit LC]]&gt;0,MIN(Table13[Zeit LC])/Table13[[#This Row],[Zeit LC]]*1000,0)</f>
        <v>0</v>
      </c>
      <c r="AE37" s="7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37" s="7">
        <f>(Table13[[#This Row],[Punkte LC]]+Table13[[#This Row],[Bonus LC]])</f>
        <v>0</v>
      </c>
      <c r="AG37" s="15" t="str">
        <f>IF(Table13[[#This Row],[Zeit LC]]&gt;0,_xlfn.RANK.EQ(Table13[[#This Row],[Gesamt LC]],Table13[Gesamt LC],0)," ")</f>
        <v xml:space="preserve"> </v>
      </c>
      <c r="AH37" s="23">
        <f>MAX( Z37,AF37)</f>
        <v>0</v>
      </c>
      <c r="AI37" s="9"/>
      <c r="AJ37" s="12" t="str">
        <f>IF(Table13[[#This Row],[Zeit BZF]]&gt;0,_xlfn.RANK.EQ(Table13[[#This Row],[Punkte BZF]],Table13[Punkte BZF],0)," ")</f>
        <v xml:space="preserve"> </v>
      </c>
      <c r="AK37" s="10">
        <f>IF(Table13[[#This Row],[Zeit BZF]]&gt;0,MIN(Table13[Zeit BZF])/Table13[[#This Row],[Zeit BZF]]*1000,0)</f>
        <v>0</v>
      </c>
      <c r="AL37" s="8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37" s="7">
        <f>(Table13[[#This Row],[Punkte BZF]]+Table13[[#This Row],[Bonus BZF]])</f>
        <v>0</v>
      </c>
      <c r="AN37" s="15" t="str">
        <f>IF(Table13[[#This Row],[Zeit BZF]]&gt;0,_xlfn.RANK.EQ(Table13[[#This Row],[Gesamt BZF]],Table13[Gesamt BZF],0)," ")</f>
        <v xml:space="preserve"> </v>
      </c>
      <c r="AO37" s="9">
        <v>2.4467592592592593E-2</v>
      </c>
      <c r="AP37" s="12">
        <f>IF(Table13[[#This Row],[Zeit EZF]]&gt;0,_xlfn.RANK.EQ(Table13[[#This Row],[Punkte EZF]],Table13[Punkte EZF],0)," ")</f>
        <v>16</v>
      </c>
      <c r="AQ37" s="10">
        <f>IF(Table13[[#This Row],[Zeit EZF]]&gt;0,MIN(Table13[Zeit EZF])/Table13[[#This Row],[Zeit EZF]]*1000,0)</f>
        <v>835.38315988647128</v>
      </c>
      <c r="AR37" s="8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37" s="7">
        <f>(Table13[[#This Row],[Punkte EZF]]+Table13[[#This Row],[Bonus EZF]])</f>
        <v>835.38315988647128</v>
      </c>
      <c r="AT37" s="15">
        <f>IF(Table13[[#This Row],[Zeit EZF]]&gt;0,_xlfn.RANK.EQ(Table13[[#This Row],[Gesamt EZF]],Table13[Gesamt EZF],0)," ")</f>
        <v>17</v>
      </c>
      <c r="AU37" s="26">
        <f t="shared" si="7"/>
        <v>835.38315988647128</v>
      </c>
    </row>
    <row r="38" spans="1:47" x14ac:dyDescent="0.25">
      <c r="A38" s="1" t="s">
        <v>175</v>
      </c>
      <c r="B38" s="1" t="s">
        <v>176</v>
      </c>
      <c r="C38" s="4"/>
      <c r="D38" s="4">
        <v>1981</v>
      </c>
      <c r="E38" s="4">
        <f>IF(Table13[[#This Row],[JG]],2024-Table13[[#This Row],[JG]],0)</f>
        <v>43</v>
      </c>
      <c r="F38" s="4"/>
      <c r="G38" s="49">
        <f t="shared" si="0"/>
        <v>823.60799238820164</v>
      </c>
      <c r="H38" s="35">
        <f>_xlfn.RANK.EQ(Table13[[#This Row],[Gesamtpunkte]],Table13[Gesamtpunkte],0)</f>
        <v>36</v>
      </c>
      <c r="I38" s="9"/>
      <c r="J38" s="13" t="str">
        <f>IF(Table13[[#This Row],[Zeit LSC]]&gt;0,_xlfn.RANK.EQ(Table13[[#This Row],[Punkte LSC]],Table13[Punkte LSC],0)," ")</f>
        <v xml:space="preserve"> </v>
      </c>
      <c r="K38" s="7">
        <f>IF(Table13[[#This Row],[Zeit LSC]]&gt;0,MIN(Table13[Zeit LSC])/Table13[[#This Row],[Zeit LSC]]*1000,0)</f>
        <v>0</v>
      </c>
      <c r="L38" s="8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38" s="7">
        <f>(Table13[[#This Row],[Punkte LSC]]+Table13[[#This Row],[Bonus LSC]])</f>
        <v>0</v>
      </c>
      <c r="N38" s="15" t="str">
        <f>IF(Table13[[#This Row],[Zeit LSC]]&gt;0,_xlfn.RANK.EQ(Table13[[#This Row],[Gesamt LSC]],Table13[Gesamt LSC],0)," ")</f>
        <v xml:space="preserve"> </v>
      </c>
      <c r="O38" s="9"/>
      <c r="P38" s="4" t="str">
        <f>IF(Table13[[#This Row],[Zeit LKC]]&gt;0,_xlfn.RANK.EQ(Table13[[#This Row],[Punkte LKC]],Table13[Punkte LKC],0)," ")</f>
        <v xml:space="preserve"> </v>
      </c>
      <c r="Q38" s="16">
        <f>IF(Table13[[#This Row],[Zeit LKC]]&gt;0,MIN(Table13[Zeit LKC])/Table13[[#This Row],[Zeit LKC]]*1000,0)</f>
        <v>0</v>
      </c>
      <c r="R38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38" s="16">
        <f>(Table13[[#This Row],[Punkte LKC]]+Table13[[#This Row],[Bonus LKC]])</f>
        <v>0</v>
      </c>
      <c r="T38" s="18" t="str">
        <f>IF(Table13[[#This Row],[Zeit LKC]]&gt;0,_xlfn.RANK.EQ(Table13[[#This Row],[Gesamt LKC]],Table13[Gesamt LKC],0)," ")</f>
        <v xml:space="preserve"> </v>
      </c>
      <c r="U38" s="23">
        <f>MAX( S38,M38)</f>
        <v>0</v>
      </c>
      <c r="V38" s="9"/>
      <c r="W38" s="12" t="str">
        <f>IF(Table13[[#This Row],[Zeit S&amp;R]]&gt;0,_xlfn.RANK.EQ(Table13[[#This Row],[Punkte S&amp;R]],Table13[Punkte S&amp;R],0)," ")</f>
        <v xml:space="preserve"> </v>
      </c>
      <c r="X38" s="7">
        <f>IF(Table13[[#This Row],[Zeit S&amp;R]]&gt;0,MIN(Table13[Zeit S&amp;R])/Table13[[#This Row],[Zeit S&amp;R]]*1000,0)</f>
        <v>0</v>
      </c>
      <c r="Y38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38" s="7">
        <f>(Table13[[#This Row],[Punkte S&amp;R]]+Table13[[#This Row],[Bonus S&amp;R]])</f>
        <v>0</v>
      </c>
      <c r="AA38" s="15" t="str">
        <f>IF(Table13[[#This Row],[Zeit S&amp;R]]&gt;0,_xlfn.RANK.EQ(Table13[[#This Row],[Gesamt S&amp;R]],Table13[Gesamt S&amp;R],0)," ")</f>
        <v xml:space="preserve"> </v>
      </c>
      <c r="AB38" s="14">
        <v>7.2986111111111113E-2</v>
      </c>
      <c r="AC38" s="15">
        <f>IF(Table13[[#This Row],[Zeit LC]]&gt;0,_xlfn.RANK.EQ(Table13[[#This Row],[Punkte LC]],Table13[Punkte LC],0)," ")</f>
        <v>5</v>
      </c>
      <c r="AD38" s="7">
        <f>IF(Table13[[#This Row],[Zeit LC]]&gt;0,MIN(Table13[Zeit LC])/Table13[[#This Row],[Zeit LC]]*1000,0)</f>
        <v>811.60799238820164</v>
      </c>
      <c r="AE38" s="7">
        <f>IF(Table13[[#This Row],[Zeit LC]]&gt;0,SUM(IF(Table13[[#This Row],[Alter]]&gt;40,(Table13[[#This Row],[Alter]]-40)*4,0),IF(AND(Table13[[#This Row],[Alter]]&lt;20,Table13[[#This Row],[Alter]]&gt;0),(20-Table13[[#This Row],[Alter]])*10,0)),0)</f>
        <v>12</v>
      </c>
      <c r="AF38" s="7">
        <f>(Table13[[#This Row],[Punkte LC]]+Table13[[#This Row],[Bonus LC]])</f>
        <v>823.60799238820164</v>
      </c>
      <c r="AG38" s="15">
        <f>IF(Table13[[#This Row],[Zeit LC]]&gt;0,_xlfn.RANK.EQ(Table13[[#This Row],[Gesamt LC]],Table13[Gesamt LC],0)," ")</f>
        <v>5</v>
      </c>
      <c r="AH38" s="23">
        <f>MAX( Z38,AF38)</f>
        <v>823.60799238820164</v>
      </c>
      <c r="AI38" s="9"/>
      <c r="AJ38" s="12" t="str">
        <f>IF(Table13[[#This Row],[Zeit BZF]]&gt;0,_xlfn.RANK.EQ(Table13[[#This Row],[Punkte BZF]],Table13[Punkte BZF],0)," ")</f>
        <v xml:space="preserve"> </v>
      </c>
      <c r="AK38" s="10">
        <f>IF(Table13[[#This Row],[Zeit BZF]]&gt;0,MIN(Table13[Zeit BZF])/Table13[[#This Row],[Zeit BZF]]*1000,0)</f>
        <v>0</v>
      </c>
      <c r="AL38" s="8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38" s="7">
        <f>(Table13[[#This Row],[Punkte BZF]]+Table13[[#This Row],[Bonus BZF]])</f>
        <v>0</v>
      </c>
      <c r="AN38" s="15" t="str">
        <f>IF(Table13[[#This Row],[Zeit BZF]]&gt;0,_xlfn.RANK.EQ(Table13[[#This Row],[Gesamt BZF]],Table13[Gesamt BZF],0)," ")</f>
        <v xml:space="preserve"> </v>
      </c>
      <c r="AO38" s="9"/>
      <c r="AP38" s="12" t="str">
        <f>IF(Table13[[#This Row],[Zeit EZF]]&gt;0,_xlfn.RANK.EQ(Table13[[#This Row],[Punkte EZF]],Table13[Punkte EZF],0)," ")</f>
        <v xml:space="preserve"> </v>
      </c>
      <c r="AQ38" s="10">
        <f>IF(Table13[[#This Row],[Zeit EZF]]&gt;0,MIN(Table13[Zeit EZF])/Table13[[#This Row],[Zeit EZF]]*1000,0)</f>
        <v>0</v>
      </c>
      <c r="AR38" s="8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38" s="7">
        <f>(Table13[[#This Row],[Punkte EZF]]+Table13[[#This Row],[Bonus EZF]])</f>
        <v>0</v>
      </c>
      <c r="AT38" s="15" t="str">
        <f>IF(Table13[[#This Row],[Zeit EZF]]&gt;0,_xlfn.RANK.EQ(Table13[[#This Row],[Gesamt EZF]],Table13[Gesamt EZF],0)," ")</f>
        <v xml:space="preserve"> </v>
      </c>
      <c r="AU38" s="26">
        <f t="shared" si="1"/>
        <v>0</v>
      </c>
    </row>
    <row r="39" spans="1:47" x14ac:dyDescent="0.25">
      <c r="A39" s="1" t="s">
        <v>163</v>
      </c>
      <c r="B39" s="1" t="s">
        <v>77</v>
      </c>
      <c r="C39" s="5"/>
      <c r="D39" s="5">
        <v>1990</v>
      </c>
      <c r="E39" s="6">
        <f>IF(Table13[[#This Row],[JG]],2024-Table13[[#This Row],[JG]],0)</f>
        <v>34</v>
      </c>
      <c r="F39" s="5"/>
      <c r="G39" s="49">
        <f t="shared" si="0"/>
        <v>822.90881688018089</v>
      </c>
      <c r="H39" s="35">
        <f>_xlfn.RANK.EQ(Table13[[#This Row],[Gesamtpunkte]],Table13[Gesamtpunkte],0)</f>
        <v>37</v>
      </c>
      <c r="I39" s="28"/>
      <c r="J39" s="29" t="str">
        <f>IF(Table13[[#This Row],[Zeit LSC]]&gt;0,_xlfn.RANK.EQ(Table13[[#This Row],[Punkte LSC]],Table13[Punkte LSC],0)," ")</f>
        <v xml:space="preserve"> </v>
      </c>
      <c r="K39" s="30">
        <f>IF(Table13[[#This Row],[Zeit LSC]]&gt;0,MIN(Table13[Zeit LSC])/Table13[[#This Row],[Zeit LSC]]*1000,0)</f>
        <v>0</v>
      </c>
      <c r="L39" s="3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39" s="30">
        <f>(Table13[[#This Row],[Punkte LSC]]+Table13[[#This Row],[Bonus LSC]])</f>
        <v>0</v>
      </c>
      <c r="N39" s="32" t="str">
        <f>IF(Table13[[#This Row],[Zeit LSC]]&gt;0,_xlfn.RANK.EQ(Table13[[#This Row],[Gesamt LSC]],Table13[Gesamt LSC],0)," ")</f>
        <v xml:space="preserve"> </v>
      </c>
      <c r="O39" s="5"/>
      <c r="P39" s="6" t="str">
        <f>IF(Table13[[#This Row],[Zeit LKC]]&gt;0,_xlfn.RANK.EQ(Table13[[#This Row],[Punkte LKC]],Table13[Punkte LKC],0)," ")</f>
        <v xml:space="preserve"> </v>
      </c>
      <c r="Q39" s="16">
        <f>IF(Table13[[#This Row],[Zeit LKC]]&gt;0,MIN(Table13[Zeit LKC])/Table13[[#This Row],[Zeit LKC]]*1000,0)</f>
        <v>0</v>
      </c>
      <c r="R39" s="33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39" s="19">
        <f>(Table13[[#This Row],[Punkte LKC]]+Table13[[#This Row],[Bonus LKC]])</f>
        <v>0</v>
      </c>
      <c r="T39" s="25" t="str">
        <f>IF(Table13[[#This Row],[Zeit LKC]]&gt;0,_xlfn.RANK.EQ(Table13[[#This Row],[Gesamt LKC]],Table13[Gesamt LKC],0)," ")</f>
        <v xml:space="preserve"> </v>
      </c>
      <c r="U39" s="23">
        <f>MAX( S39,M39)</f>
        <v>0</v>
      </c>
      <c r="V39" s="14"/>
      <c r="W39" s="12" t="str">
        <f>IF(Table13[[#This Row],[Zeit S&amp;R]]&gt;0,_xlfn.RANK.EQ(Table13[[#This Row],[Punkte S&amp;R]],Table13[Punkte S&amp;R],0)," ")</f>
        <v xml:space="preserve"> </v>
      </c>
      <c r="X39" s="10">
        <f>IF(Table13[[#This Row],[Zeit S&amp;R]]&gt;0,MIN(Table13[Zeit S&amp;R])/Table13[[#This Row],[Zeit S&amp;R]]*1000,0)</f>
        <v>0</v>
      </c>
      <c r="Y39" s="11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39" s="10">
        <f>(Table13[[#This Row],[Punkte S&amp;R]]+Table13[[#This Row],[Bonus S&amp;R]])</f>
        <v>0</v>
      </c>
      <c r="AA39" s="21" t="str">
        <f>IF(Table13[[#This Row],[Zeit S&amp;R]]&gt;0,_xlfn.RANK.EQ(Table13[[#This Row],[Gesamt S&amp;R]],Table13[Gesamt S&amp;R],0)," ")</f>
        <v xml:space="preserve"> </v>
      </c>
      <c r="AB39" s="14"/>
      <c r="AC39" s="21" t="str">
        <f>IF(Table13[[#This Row],[Zeit LC]]&gt;0,_xlfn.RANK.EQ(Table13[[#This Row],[Punkte LC]],Table13[Punkte LC],0)," ")</f>
        <v xml:space="preserve"> </v>
      </c>
      <c r="AD39" s="10">
        <f>IF(Table13[[#This Row],[Zeit LC]]&gt;0,MIN(Table13[Zeit LC])/Table13[[#This Row],[Zeit LC]]*1000,0)</f>
        <v>0</v>
      </c>
      <c r="AE39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39" s="10">
        <f>(Table13[[#This Row],[Punkte LC]]+Table13[[#This Row],[Bonus LC]])</f>
        <v>0</v>
      </c>
      <c r="AG39" s="21" t="str">
        <f>IF(Table13[[#This Row],[Zeit LC]]&gt;0,_xlfn.RANK.EQ(Table13[[#This Row],[Gesamt LC]],Table13[Gesamt LC],0)," ")</f>
        <v xml:space="preserve"> </v>
      </c>
      <c r="AH39" s="23">
        <f>MAX( Z39,AF39)</f>
        <v>0</v>
      </c>
      <c r="AI39" s="14">
        <v>1.5358796296296296E-2</v>
      </c>
      <c r="AJ39" s="12">
        <f>IF(Table13[[#This Row],[Zeit BZF]]&gt;0,_xlfn.RANK.EQ(Table13[[#This Row],[Punkte BZF]],Table13[Punkte BZF],0)," ")</f>
        <v>10</v>
      </c>
      <c r="AK39" s="10">
        <f>IF(Table13[[#This Row],[Zeit BZF]]&gt;0,MIN(Table13[Zeit BZF])/Table13[[#This Row],[Zeit BZF]]*1000,0)</f>
        <v>822.90881688018089</v>
      </c>
      <c r="AL39" s="11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39" s="10">
        <f>(Table13[[#This Row],[Punkte BZF]]+Table13[[#This Row],[Bonus BZF]])</f>
        <v>822.90881688018089</v>
      </c>
      <c r="AN39" s="21">
        <f>IF(Table13[[#This Row],[Zeit BZF]]&gt;0,_xlfn.RANK.EQ(Table13[[#This Row],[Gesamt BZF]],Table13[Gesamt BZF],0)," ")</f>
        <v>11</v>
      </c>
      <c r="AO39" s="14"/>
      <c r="AP39" s="12" t="str">
        <f>IF(Table13[[#This Row],[Zeit EZF]]&gt;0,_xlfn.RANK.EQ(Table13[[#This Row],[Punkte EZF]],Table13[Punkte EZF],0)," ")</f>
        <v xml:space="preserve"> </v>
      </c>
      <c r="AQ39" s="10">
        <f>IF(Table13[[#This Row],[Zeit EZF]]&gt;0,MIN(Table13[Zeit EZF])/Table13[[#This Row],[Zeit EZF]]*1000,0)</f>
        <v>0</v>
      </c>
      <c r="AR39" s="11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39" s="10">
        <f>(Table13[[#This Row],[Punkte EZF]]+Table13[[#This Row],[Bonus EZF]])</f>
        <v>0</v>
      </c>
      <c r="AT39" s="21" t="str">
        <f>IF(Table13[[#This Row],[Zeit EZF]]&gt;0,_xlfn.RANK.EQ(Table13[[#This Row],[Gesamt EZF]],Table13[Gesamt EZF],0)," ")</f>
        <v xml:space="preserve"> </v>
      </c>
      <c r="AU39" s="26">
        <f t="shared" ref="AU39" si="10">MAX( AM39,AS39)</f>
        <v>822.90881688018089</v>
      </c>
    </row>
    <row r="40" spans="1:47" x14ac:dyDescent="0.25">
      <c r="A40" s="1" t="s">
        <v>164</v>
      </c>
      <c r="B40" s="1" t="s">
        <v>165</v>
      </c>
      <c r="C40" s="5"/>
      <c r="D40" s="5">
        <v>2004</v>
      </c>
      <c r="E40" s="6">
        <f>IF(Table13[[#This Row],[JG]],2024-Table13[[#This Row],[JG]],0)</f>
        <v>20</v>
      </c>
      <c r="F40" s="5"/>
      <c r="G40" s="49">
        <f t="shared" si="0"/>
        <v>822.90881688018089</v>
      </c>
      <c r="H40" s="35">
        <f>_xlfn.RANK.EQ(Table13[[#This Row],[Gesamtpunkte]],Table13[Gesamtpunkte],0)</f>
        <v>37</v>
      </c>
      <c r="I40" s="14"/>
      <c r="J40" s="13" t="str">
        <f>IF(Table13[[#This Row],[Zeit LSC]]&gt;0,_xlfn.RANK.EQ(Table13[[#This Row],[Punkte LSC]],Table13[Punkte LSC],0)," ")</f>
        <v xml:space="preserve"> </v>
      </c>
      <c r="K40" s="10">
        <f>IF(Table13[[#This Row],[Zeit LSC]]&gt;0,MIN(Table13[Zeit LSC])/Table13[[#This Row],[Zeit LSC]]*1000,0)</f>
        <v>0</v>
      </c>
      <c r="L40" s="1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40" s="10">
        <f>(Table13[[#This Row],[Punkte LSC]]+Table13[[#This Row],[Bonus LSC]])</f>
        <v>0</v>
      </c>
      <c r="N40" s="15" t="str">
        <f>IF(Table13[[#This Row],[Zeit LSC]]&gt;0,_xlfn.RANK.EQ(Table13[[#This Row],[Gesamt LSC]],Table13[Gesamt LSC],0)," ")</f>
        <v xml:space="preserve"> </v>
      </c>
      <c r="O40" s="9"/>
      <c r="P40" s="5" t="str">
        <f>IF(Table13[[#This Row],[Zeit LKC]]&gt;0,_xlfn.RANK.EQ(Table13[[#This Row],[Punkte LKC]],Table13[Punkte LKC],0)," ")</f>
        <v xml:space="preserve"> </v>
      </c>
      <c r="Q40" s="16">
        <f>IF(Table13[[#This Row],[Zeit LKC]]&gt;0,MIN(Table13[Zeit LKC])/Table13[[#This Row],[Zeit LKC]]*1000,0)</f>
        <v>0</v>
      </c>
      <c r="R40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40" s="16">
        <f>(Table13[[#This Row],[Punkte LKC]]+Table13[[#This Row],[Bonus LKC]])</f>
        <v>0</v>
      </c>
      <c r="T40" s="18" t="str">
        <f>IF(Table13[[#This Row],[Zeit LKC]]&gt;0,_xlfn.RANK.EQ(Table13[[#This Row],[Gesamt LKC]],Table13[Gesamt LKC],0)," ")</f>
        <v xml:space="preserve"> </v>
      </c>
      <c r="U40" s="23">
        <f>MAX( S40,M40)</f>
        <v>0</v>
      </c>
      <c r="V40" s="14"/>
      <c r="W40" s="12" t="str">
        <f>IF(Table13[[#This Row],[Zeit S&amp;R]]&gt;0,_xlfn.RANK.EQ(Table13[[#This Row],[Punkte S&amp;R]],Table13[Punkte S&amp;R],0)," ")</f>
        <v xml:space="preserve"> </v>
      </c>
      <c r="X40" s="10">
        <f>IF(Table13[[#This Row],[Zeit S&amp;R]]&gt;0,MIN(Table13[Zeit S&amp;R])/Table13[[#This Row],[Zeit S&amp;R]]*1000,0)</f>
        <v>0</v>
      </c>
      <c r="Y40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40" s="10">
        <f>(Table13[[#This Row],[Punkte S&amp;R]]+Table13[[#This Row],[Bonus S&amp;R]])</f>
        <v>0</v>
      </c>
      <c r="AA40" s="15" t="str">
        <f>IF(Table13[[#This Row],[Zeit S&amp;R]]&gt;0,_xlfn.RANK.EQ(Table13[[#This Row],[Gesamt S&amp;R]],Table13[Gesamt S&amp;R],0)," ")</f>
        <v xml:space="preserve"> </v>
      </c>
      <c r="AB40" s="14"/>
      <c r="AC40" s="15" t="str">
        <f>IF(Table13[[#This Row],[Zeit LC]]&gt;0,_xlfn.RANK.EQ(Table13[[#This Row],[Punkte LC]],Table13[Punkte LC],0)," ")</f>
        <v xml:space="preserve"> </v>
      </c>
      <c r="AD40" s="10">
        <f>IF(Table13[[#This Row],[Zeit LC]]&gt;0,MIN(Table13[Zeit LC])/Table13[[#This Row],[Zeit LC]]*1000,0)</f>
        <v>0</v>
      </c>
      <c r="AE40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40" s="10">
        <f>(Table13[[#This Row],[Punkte LC]]+Table13[[#This Row],[Bonus LC]])</f>
        <v>0</v>
      </c>
      <c r="AG40" s="15" t="str">
        <f>IF(Table13[[#This Row],[Zeit LC]]&gt;0,_xlfn.RANK.EQ(Table13[[#This Row],[Gesamt LC]],Table13[Gesamt LC],0)," ")</f>
        <v xml:space="preserve"> </v>
      </c>
      <c r="AH40" s="23">
        <f>MAX( Z40,AF40)</f>
        <v>0</v>
      </c>
      <c r="AI40" s="14">
        <v>1.5358796296296296E-2</v>
      </c>
      <c r="AJ40" s="12">
        <f>IF(Table13[[#This Row],[Zeit BZF]]&gt;0,_xlfn.RANK.EQ(Table13[[#This Row],[Punkte BZF]],Table13[Punkte BZF],0)," ")</f>
        <v>10</v>
      </c>
      <c r="AK40" s="10">
        <f>IF(Table13[[#This Row],[Zeit BZF]]&gt;0,MIN(Table13[Zeit BZF])/Table13[[#This Row],[Zeit BZF]]*1000,0)</f>
        <v>822.90881688018089</v>
      </c>
      <c r="AL40" s="8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40" s="10">
        <f>(Table13[[#This Row],[Punkte BZF]]+Table13[[#This Row],[Bonus BZF]])</f>
        <v>822.90881688018089</v>
      </c>
      <c r="AN40" s="15">
        <f>IF(Table13[[#This Row],[Zeit BZF]]&gt;0,_xlfn.RANK.EQ(Table13[[#This Row],[Gesamt BZF]],Table13[Gesamt BZF],0)," ")</f>
        <v>11</v>
      </c>
      <c r="AO40" s="14"/>
      <c r="AP40" s="12" t="str">
        <f>IF(Table13[[#This Row],[Zeit EZF]]&gt;0,_xlfn.RANK.EQ(Table13[[#This Row],[Punkte EZF]],Table13[Punkte EZF],0)," ")</f>
        <v xml:space="preserve"> </v>
      </c>
      <c r="AQ40" s="10">
        <f>IF(Table13[[#This Row],[Zeit EZF]]&gt;0,MIN(Table13[Zeit EZF])/Table13[[#This Row],[Zeit EZF]]*1000,0)</f>
        <v>0</v>
      </c>
      <c r="AR40" s="8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40" s="10">
        <f>(Table13[[#This Row],[Punkte EZF]]+Table13[[#This Row],[Bonus EZF]])</f>
        <v>0</v>
      </c>
      <c r="AT40" s="15" t="str">
        <f>IF(Table13[[#This Row],[Zeit EZF]]&gt;0,_xlfn.RANK.EQ(Table13[[#This Row],[Gesamt EZF]],Table13[Gesamt EZF],0)," ")</f>
        <v xml:space="preserve"> </v>
      </c>
      <c r="AU40" s="26">
        <f t="shared" si="1"/>
        <v>822.90881688018089</v>
      </c>
    </row>
    <row r="41" spans="1:47" x14ac:dyDescent="0.25">
      <c r="A41" s="1" t="s">
        <v>84</v>
      </c>
      <c r="B41" s="1" t="s">
        <v>85</v>
      </c>
      <c r="C41" s="5"/>
      <c r="D41" s="5">
        <v>1971</v>
      </c>
      <c r="E41" s="6">
        <f>IF(Table13[[#This Row],[JG]],2024-Table13[[#This Row],[JG]],0)</f>
        <v>53</v>
      </c>
      <c r="F41" s="4" t="s">
        <v>34</v>
      </c>
      <c r="G41" s="49">
        <f t="shared" si="0"/>
        <v>818.31578947368416</v>
      </c>
      <c r="H41" s="35">
        <f>_xlfn.RANK.EQ(Table13[[#This Row],[Gesamtpunkte]],Table13[Gesamtpunkte],0)</f>
        <v>39</v>
      </c>
      <c r="I41" s="14"/>
      <c r="J41" s="13" t="str">
        <f>IF(Table13[[#This Row],[Zeit LSC]]&gt;0,_xlfn.RANK.EQ(Table13[[#This Row],[Punkte LSC]],Table13[Punkte LSC],0)," ")</f>
        <v xml:space="preserve"> </v>
      </c>
      <c r="K41" s="10">
        <f>IF(Table13[[#This Row],[Zeit LSC]]&gt;0,MIN(Table13[Zeit LSC])/Table13[[#This Row],[Zeit LSC]]*1000,0)</f>
        <v>0</v>
      </c>
      <c r="L41" s="1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41" s="10">
        <f>(Table13[[#This Row],[Punkte LSC]]+Table13[[#This Row],[Bonus LSC]])</f>
        <v>0</v>
      </c>
      <c r="N41" s="15" t="str">
        <f>IF(Table13[[#This Row],[Zeit LSC]]&gt;0,_xlfn.RANK.EQ(Table13[[#This Row],[Gesamt LSC]],Table13[Gesamt LSC],0)," ")</f>
        <v xml:space="preserve"> </v>
      </c>
      <c r="O41" s="9"/>
      <c r="P41" s="5" t="str">
        <f>IF(Table13[[#This Row],[Zeit LKC]]&gt;0,_xlfn.RANK.EQ(Table13[[#This Row],[Punkte LKC]],Table13[Punkte LKC],0)," ")</f>
        <v xml:space="preserve"> </v>
      </c>
      <c r="Q41" s="16">
        <f>IF(Table13[[#This Row],[Zeit LKC]]&gt;0,MIN(Table13[Zeit LKC])/Table13[[#This Row],[Zeit LKC]]*1000,0)</f>
        <v>0</v>
      </c>
      <c r="R41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41" s="16">
        <f>(Table13[[#This Row],[Punkte LKC]]+Table13[[#This Row],[Bonus LKC]])</f>
        <v>0</v>
      </c>
      <c r="T41" s="18" t="str">
        <f>IF(Table13[[#This Row],[Zeit LKC]]&gt;0,_xlfn.RANK.EQ(Table13[[#This Row],[Gesamt LKC]],Table13[Gesamt LKC],0)," ")</f>
        <v xml:space="preserve"> </v>
      </c>
      <c r="U41" s="23">
        <f>MAX( S41,M41)</f>
        <v>0</v>
      </c>
      <c r="V41" s="14"/>
      <c r="W41" s="12" t="str">
        <f>IF(Table13[[#This Row],[Zeit S&amp;R]]&gt;0,_xlfn.RANK.EQ(Table13[[#This Row],[Punkte S&amp;R]],Table13[Punkte S&amp;R],0)," ")</f>
        <v xml:space="preserve"> </v>
      </c>
      <c r="X41" s="10">
        <f>IF(Table13[[#This Row],[Zeit S&amp;R]]&gt;0,MIN(Table13[Zeit S&amp;R])/Table13[[#This Row],[Zeit S&amp;R]]*1000,0)</f>
        <v>0</v>
      </c>
      <c r="Y41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41" s="10">
        <f>(Table13[[#This Row],[Punkte S&amp;R]]+Table13[[#This Row],[Bonus S&amp;R]])</f>
        <v>0</v>
      </c>
      <c r="AA41" s="15" t="str">
        <f>IF(Table13[[#This Row],[Zeit S&amp;R]]&gt;0,_xlfn.RANK.EQ(Table13[[#This Row],[Gesamt S&amp;R]],Table13[Gesamt S&amp;R],0)," ")</f>
        <v xml:space="preserve"> </v>
      </c>
      <c r="AB41" s="14"/>
      <c r="AC41" s="15" t="str">
        <f>IF(Table13[[#This Row],[Zeit LC]]&gt;0,_xlfn.RANK.EQ(Table13[[#This Row],[Punkte LC]],Table13[Punkte LC],0)," ")</f>
        <v xml:space="preserve"> </v>
      </c>
      <c r="AD41" s="10">
        <f>IF(Table13[[#This Row],[Zeit LC]]&gt;0,MIN(Table13[Zeit LC])/Table13[[#This Row],[Zeit LC]]*1000,0)</f>
        <v>0</v>
      </c>
      <c r="AE41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41" s="10">
        <f>(Table13[[#This Row],[Punkte LC]]+Table13[[#This Row],[Bonus LC]])</f>
        <v>0</v>
      </c>
      <c r="AG41" s="15" t="str">
        <f>IF(Table13[[#This Row],[Zeit LC]]&gt;0,_xlfn.RANK.EQ(Table13[[#This Row],[Gesamt LC]],Table13[Gesamt LC],0)," ")</f>
        <v xml:space="preserve"> </v>
      </c>
      <c r="AH41" s="23">
        <f>MAX( Z41,AF41)</f>
        <v>0</v>
      </c>
      <c r="AI41" s="14">
        <v>1.6493055555555556E-2</v>
      </c>
      <c r="AJ41" s="12">
        <f>IF(Table13[[#This Row],[Zeit BZF]]&gt;0,_xlfn.RANK.EQ(Table13[[#This Row],[Punkte BZF]],Table13[Punkte BZF],0)," ")</f>
        <v>16</v>
      </c>
      <c r="AK41" s="10">
        <f>IF(Table13[[#This Row],[Zeit BZF]]&gt;0,MIN(Table13[Zeit BZF])/Table13[[#This Row],[Zeit BZF]]*1000,0)</f>
        <v>766.31578947368416</v>
      </c>
      <c r="AL41" s="8">
        <f>IF(Table13[[#This Row],[Zeit BZF]]&gt;0,SUM(IF(Table13[[#This Row],[Alter]]&gt;40,(Table13[[#This Row],[Alter]]-40)*4,0),IF(AND(Table13[[#This Row],[Alter]]&lt;20,Table13[[#This Row],[Alter]]&gt;0),(20-Table13[[#This Row],[Alter]])*10,0)),0)</f>
        <v>52</v>
      </c>
      <c r="AM41" s="10">
        <f>(Table13[[#This Row],[Punkte BZF]]+Table13[[#This Row],[Bonus BZF]])</f>
        <v>818.31578947368416</v>
      </c>
      <c r="AN41" s="15">
        <f>IF(Table13[[#This Row],[Zeit BZF]]&gt;0,_xlfn.RANK.EQ(Table13[[#This Row],[Gesamt BZF]],Table13[Gesamt BZF],0)," ")</f>
        <v>13</v>
      </c>
      <c r="AO41" s="14"/>
      <c r="AP41" s="12" t="str">
        <f>IF(Table13[[#This Row],[Zeit EZF]]&gt;0,_xlfn.RANK.EQ(Table13[[#This Row],[Punkte EZF]],Table13[Punkte EZF],0)," ")</f>
        <v xml:space="preserve"> </v>
      </c>
      <c r="AQ41" s="10">
        <f>IF(Table13[[#This Row],[Zeit EZF]]&gt;0,MIN(Table13[Zeit EZF])/Table13[[#This Row],[Zeit EZF]]*1000,0)</f>
        <v>0</v>
      </c>
      <c r="AR41" s="8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41" s="10">
        <f>(Table13[[#This Row],[Punkte EZF]]+Table13[[#This Row],[Bonus EZF]])</f>
        <v>0</v>
      </c>
      <c r="AT41" s="15" t="str">
        <f>IF(Table13[[#This Row],[Zeit EZF]]&gt;0,_xlfn.RANK.EQ(Table13[[#This Row],[Gesamt EZF]],Table13[Gesamt EZF],0)," ")</f>
        <v xml:space="preserve"> </v>
      </c>
      <c r="AU41" s="26">
        <f t="shared" si="1"/>
        <v>818.31578947368416</v>
      </c>
    </row>
    <row r="42" spans="1:47" x14ac:dyDescent="0.25">
      <c r="A42" s="1" t="s">
        <v>166</v>
      </c>
      <c r="B42" s="1" t="s">
        <v>141</v>
      </c>
      <c r="C42" s="5"/>
      <c r="D42" s="5">
        <v>1995</v>
      </c>
      <c r="E42" s="6">
        <f>IF(Table13[[#This Row],[JG]],2024-Table13[[#This Row],[JG]],0)</f>
        <v>29</v>
      </c>
      <c r="F42" s="4" t="s">
        <v>34</v>
      </c>
      <c r="G42" s="49">
        <f t="shared" si="0"/>
        <v>816.83626271970411</v>
      </c>
      <c r="H42" s="35">
        <f>_xlfn.RANK.EQ(Table13[[#This Row],[Gesamtpunkte]],Table13[Gesamtpunkte],0)</f>
        <v>40</v>
      </c>
      <c r="I42" s="14"/>
      <c r="J42" s="13" t="str">
        <f>IF(Table13[[#This Row],[Zeit LSC]]&gt;0,_xlfn.RANK.EQ(Table13[[#This Row],[Punkte LSC]],Table13[Punkte LSC],0)," ")</f>
        <v xml:space="preserve"> </v>
      </c>
      <c r="K42" s="10">
        <f>IF(Table13[[#This Row],[Zeit LSC]]&gt;0,MIN(Table13[Zeit LSC])/Table13[[#This Row],[Zeit LSC]]*1000,0)</f>
        <v>0</v>
      </c>
      <c r="L42" s="1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42" s="10">
        <f>(Table13[[#This Row],[Punkte LSC]]+Table13[[#This Row],[Bonus LSC]])</f>
        <v>0</v>
      </c>
      <c r="N42" s="15" t="str">
        <f>IF(Table13[[#This Row],[Zeit LSC]]&gt;0,_xlfn.RANK.EQ(Table13[[#This Row],[Gesamt LSC]],Table13[Gesamt LSC],0)," ")</f>
        <v xml:space="preserve"> </v>
      </c>
      <c r="O42" s="9"/>
      <c r="P42" s="5" t="str">
        <f>IF(Table13[[#This Row],[Zeit LKC]]&gt;0,_xlfn.RANK.EQ(Table13[[#This Row],[Punkte LKC]],Table13[Punkte LKC],0)," ")</f>
        <v xml:space="preserve"> </v>
      </c>
      <c r="Q42" s="16">
        <f>IF(Table13[[#This Row],[Zeit LKC]]&gt;0,MIN(Table13[Zeit LKC])/Table13[[#This Row],[Zeit LKC]]*1000,0)</f>
        <v>0</v>
      </c>
      <c r="R42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42" s="16">
        <f>(Table13[[#This Row],[Punkte LKC]]+Table13[[#This Row],[Bonus LKC]])</f>
        <v>0</v>
      </c>
      <c r="T42" s="18" t="str">
        <f>IF(Table13[[#This Row],[Zeit LKC]]&gt;0,_xlfn.RANK.EQ(Table13[[#This Row],[Gesamt LKC]],Table13[Gesamt LKC],0)," ")</f>
        <v xml:space="preserve"> </v>
      </c>
      <c r="U42" s="23">
        <f>MAX( S42,M42)</f>
        <v>0</v>
      </c>
      <c r="V42" s="14"/>
      <c r="W42" s="12" t="str">
        <f>IF(Table13[[#This Row],[Zeit S&amp;R]]&gt;0,_xlfn.RANK.EQ(Table13[[#This Row],[Punkte S&amp;R]],Table13[Punkte S&amp;R],0)," ")</f>
        <v xml:space="preserve"> </v>
      </c>
      <c r="X42" s="10">
        <f>IF(Table13[[#This Row],[Zeit S&amp;R]]&gt;0,MIN(Table13[Zeit S&amp;R])/Table13[[#This Row],[Zeit S&amp;R]]*1000,0)</f>
        <v>0</v>
      </c>
      <c r="Y42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42" s="10">
        <f>(Table13[[#This Row],[Punkte S&amp;R]]+Table13[[#This Row],[Bonus S&amp;R]])</f>
        <v>0</v>
      </c>
      <c r="AA42" s="15" t="str">
        <f>IF(Table13[[#This Row],[Zeit S&amp;R]]&gt;0,_xlfn.RANK.EQ(Table13[[#This Row],[Gesamt S&amp;R]],Table13[Gesamt S&amp;R],0)," ")</f>
        <v xml:space="preserve"> </v>
      </c>
      <c r="AB42" s="14"/>
      <c r="AC42" s="15" t="str">
        <f>IF(Table13[[#This Row],[Zeit LC]]&gt;0,_xlfn.RANK.EQ(Table13[[#This Row],[Punkte LC]],Table13[Punkte LC],0)," ")</f>
        <v xml:space="preserve"> </v>
      </c>
      <c r="AD42" s="10">
        <f>IF(Table13[[#This Row],[Zeit LC]]&gt;0,MIN(Table13[Zeit LC])/Table13[[#This Row],[Zeit LC]]*1000,0)</f>
        <v>0</v>
      </c>
      <c r="AE42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42" s="10">
        <f>(Table13[[#This Row],[Punkte LC]]+Table13[[#This Row],[Bonus LC]])</f>
        <v>0</v>
      </c>
      <c r="AG42" s="15" t="str">
        <f>IF(Table13[[#This Row],[Zeit LC]]&gt;0,_xlfn.RANK.EQ(Table13[[#This Row],[Gesamt LC]],Table13[Gesamt LC],0)," ")</f>
        <v xml:space="preserve"> </v>
      </c>
      <c r="AH42" s="23">
        <f>MAX( Z42,AF42)</f>
        <v>0</v>
      </c>
      <c r="AI42" s="14">
        <v>1.6203703703703703E-2</v>
      </c>
      <c r="AJ42" s="12">
        <f>IF(Table13[[#This Row],[Zeit BZF]]&gt;0,_xlfn.RANK.EQ(Table13[[#This Row],[Punkte BZF]],Table13[Punkte BZF],0)," ")</f>
        <v>15</v>
      </c>
      <c r="AK42" s="10">
        <f>IF(Table13[[#This Row],[Zeit BZF]]&gt;0,MIN(Table13[Zeit BZF])/Table13[[#This Row],[Zeit BZF]]*1000,0)</f>
        <v>780</v>
      </c>
      <c r="AL42" s="8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42" s="10">
        <f>(Table13[[#This Row],[Punkte BZF]]+Table13[[#This Row],[Bonus BZF]])</f>
        <v>780</v>
      </c>
      <c r="AN42" s="15">
        <f>IF(Table13[[#This Row],[Zeit BZF]]&gt;0,_xlfn.RANK.EQ(Table13[[#This Row],[Gesamt BZF]],Table13[Gesamt BZF],0)," ")</f>
        <v>16</v>
      </c>
      <c r="AO42" s="14">
        <v>2.5023148148148145E-2</v>
      </c>
      <c r="AP42" s="12">
        <f>IF(Table13[[#This Row],[Zeit EZF]]&gt;0,_xlfn.RANK.EQ(Table13[[#This Row],[Punkte EZF]],Table13[Punkte EZF],0)," ")</f>
        <v>17</v>
      </c>
      <c r="AQ42" s="10">
        <f>IF(Table13[[#This Row],[Zeit EZF]]&gt;0,MIN(Table13[Zeit EZF])/Table13[[#This Row],[Zeit EZF]]*1000,0)</f>
        <v>816.83626271970411</v>
      </c>
      <c r="AR42" s="8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42" s="10">
        <f>(Table13[[#This Row],[Punkte EZF]]+Table13[[#This Row],[Bonus EZF]])</f>
        <v>816.83626271970411</v>
      </c>
      <c r="AT42" s="15">
        <f>IF(Table13[[#This Row],[Zeit EZF]]&gt;0,_xlfn.RANK.EQ(Table13[[#This Row],[Gesamt EZF]],Table13[Gesamt EZF],0)," ")</f>
        <v>18</v>
      </c>
      <c r="AU42" s="26">
        <f t="shared" si="1"/>
        <v>816.83626271970411</v>
      </c>
    </row>
    <row r="43" spans="1:47" x14ac:dyDescent="0.25">
      <c r="A43" s="1" t="s">
        <v>140</v>
      </c>
      <c r="B43" s="1" t="s">
        <v>141</v>
      </c>
      <c r="C43" s="4"/>
      <c r="D43" s="4">
        <v>1968</v>
      </c>
      <c r="E43" s="4">
        <f>IF(Table13[[#This Row],[JG]],2024-Table13[[#This Row],[JG]],0)</f>
        <v>56</v>
      </c>
      <c r="F43" s="4"/>
      <c r="G43" s="49">
        <f t="shared" si="0"/>
        <v>811.58110415480928</v>
      </c>
      <c r="H43" s="35">
        <f>_xlfn.RANK.EQ(Table13[[#This Row],[Gesamtpunkte]],Table13[Gesamtpunkte],0)</f>
        <v>41</v>
      </c>
      <c r="I43" s="9"/>
      <c r="J43" s="13" t="str">
        <f>IF(Table13[[#This Row],[Zeit LSC]]&gt;0,_xlfn.RANK.EQ(Table13[[#This Row],[Punkte LSC]],Table13[Punkte LSC],0)," ")</f>
        <v xml:space="preserve"> </v>
      </c>
      <c r="K43" s="7">
        <f>IF(Table13[[#This Row],[Zeit LSC]]&gt;0,MIN(Table13[Zeit LSC])/Table13[[#This Row],[Zeit LSC]]*1000,0)</f>
        <v>0</v>
      </c>
      <c r="L43" s="8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43" s="7">
        <f>(Table13[[#This Row],[Punkte LSC]]+Table13[[#This Row],[Bonus LSC]])</f>
        <v>0</v>
      </c>
      <c r="N43" s="15" t="str">
        <f>IF(Table13[[#This Row],[Zeit LSC]]&gt;0,_xlfn.RANK.EQ(Table13[[#This Row],[Gesamt LSC]],Table13[Gesamt LSC],0)," ")</f>
        <v xml:space="preserve"> </v>
      </c>
      <c r="O43" s="9"/>
      <c r="P43" s="4" t="str">
        <f>IF(Table13[[#This Row],[Zeit LKC]]&gt;0,_xlfn.RANK.EQ(Table13[[#This Row],[Punkte LKC]],Table13[Punkte LKC],0)," ")</f>
        <v xml:space="preserve"> </v>
      </c>
      <c r="Q43" s="16">
        <f>IF(Table13[[#This Row],[Zeit LKC]]&gt;0,MIN(Table13[Zeit LKC])/Table13[[#This Row],[Zeit LKC]]*1000,0)</f>
        <v>0</v>
      </c>
      <c r="R43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43" s="16">
        <f>(Table13[[#This Row],[Punkte LKC]]+Table13[[#This Row],[Bonus LKC]])</f>
        <v>0</v>
      </c>
      <c r="T43" s="18" t="str">
        <f>IF(Table13[[#This Row],[Zeit LKC]]&gt;0,_xlfn.RANK.EQ(Table13[[#This Row],[Gesamt LKC]],Table13[Gesamt LKC],0)," ")</f>
        <v xml:space="preserve"> </v>
      </c>
      <c r="U43" s="23">
        <f>MAX( S43,M43)</f>
        <v>0</v>
      </c>
      <c r="V43" s="9">
        <v>4.0671296296296296E-2</v>
      </c>
      <c r="W43" s="12">
        <f>IF(Table13[[#This Row],[Zeit S&amp;R]]&gt;0,_xlfn.RANK.EQ(Table13[[#This Row],[Punkte S&amp;R]],Table13[Punkte S&amp;R],0)," ")</f>
        <v>17</v>
      </c>
      <c r="X43" s="7">
        <f>IF(Table13[[#This Row],[Zeit S&amp;R]]&gt;0,MIN(Table13[Zeit S&amp;R])/Table13[[#This Row],[Zeit S&amp;R]]*1000,0)</f>
        <v>747.58110415480928</v>
      </c>
      <c r="Y43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64</v>
      </c>
      <c r="Z43" s="7">
        <f>(Table13[[#This Row],[Punkte S&amp;R]]+Table13[[#This Row],[Bonus S&amp;R]])</f>
        <v>811.58110415480928</v>
      </c>
      <c r="AA43" s="15">
        <f>IF(Table13[[#This Row],[Zeit S&amp;R]]&gt;0,_xlfn.RANK.EQ(Table13[[#This Row],[Gesamt S&amp;R]],Table13[Gesamt S&amp;R],0)," ")</f>
        <v>13</v>
      </c>
      <c r="AB43" s="14"/>
      <c r="AC43" s="15" t="str">
        <f>IF(Table13[[#This Row],[Zeit LC]]&gt;0,_xlfn.RANK.EQ(Table13[[#This Row],[Punkte LC]],Table13[Punkte LC],0)," ")</f>
        <v xml:space="preserve"> </v>
      </c>
      <c r="AD43" s="7">
        <f>IF(Table13[[#This Row],[Zeit LC]]&gt;0,MIN(Table13[Zeit LC])/Table13[[#This Row],[Zeit LC]]*1000,0)</f>
        <v>0</v>
      </c>
      <c r="AE43" s="7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43" s="7">
        <f>(Table13[[#This Row],[Punkte LC]]+Table13[[#This Row],[Bonus LC]])</f>
        <v>0</v>
      </c>
      <c r="AG43" s="15" t="str">
        <f>IF(Table13[[#This Row],[Zeit LC]]&gt;0,_xlfn.RANK.EQ(Table13[[#This Row],[Gesamt LC]],Table13[Gesamt LC],0)," ")</f>
        <v xml:space="preserve"> </v>
      </c>
      <c r="AH43" s="23">
        <f>MAX( Z43,AF43)</f>
        <v>811.58110415480928</v>
      </c>
      <c r="AI43" s="9"/>
      <c r="AJ43" s="12" t="str">
        <f>IF(Table13[[#This Row],[Zeit BZF]]&gt;0,_xlfn.RANK.EQ(Table13[[#This Row],[Punkte BZF]],Table13[Punkte BZF],0)," ")</f>
        <v xml:space="preserve"> </v>
      </c>
      <c r="AK43" s="10">
        <f>IF(Table13[[#This Row],[Zeit BZF]]&gt;0,MIN(Table13[Zeit BZF])/Table13[[#This Row],[Zeit BZF]]*1000,0)</f>
        <v>0</v>
      </c>
      <c r="AL43" s="8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43" s="7">
        <f>(Table13[[#This Row],[Punkte BZF]]+Table13[[#This Row],[Bonus BZF]])</f>
        <v>0</v>
      </c>
      <c r="AN43" s="15" t="str">
        <f>IF(Table13[[#This Row],[Zeit BZF]]&gt;0,_xlfn.RANK.EQ(Table13[[#This Row],[Gesamt BZF]],Table13[Gesamt BZF],0)," ")</f>
        <v xml:space="preserve"> </v>
      </c>
      <c r="AO43" s="9"/>
      <c r="AP43" s="12" t="str">
        <f>IF(Table13[[#This Row],[Zeit EZF]]&gt;0,_xlfn.RANK.EQ(Table13[[#This Row],[Punkte EZF]],Table13[Punkte EZF],0)," ")</f>
        <v xml:space="preserve"> </v>
      </c>
      <c r="AQ43" s="10">
        <f>IF(Table13[[#This Row],[Zeit EZF]]&gt;0,MIN(Table13[Zeit EZF])/Table13[[#This Row],[Zeit EZF]]*1000,0)</f>
        <v>0</v>
      </c>
      <c r="AR43" s="8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43" s="7">
        <f>(Table13[[#This Row],[Punkte EZF]]+Table13[[#This Row],[Bonus EZF]])</f>
        <v>0</v>
      </c>
      <c r="AT43" s="15" t="str">
        <f>IF(Table13[[#This Row],[Zeit EZF]]&gt;0,_xlfn.RANK.EQ(Table13[[#This Row],[Gesamt EZF]],Table13[Gesamt EZF],0)," ")</f>
        <v xml:space="preserve"> </v>
      </c>
      <c r="AU43" s="26">
        <f t="shared" si="1"/>
        <v>0</v>
      </c>
    </row>
    <row r="44" spans="1:47" x14ac:dyDescent="0.25">
      <c r="A44" s="1" t="s">
        <v>174</v>
      </c>
      <c r="B44" s="1" t="s">
        <v>117</v>
      </c>
      <c r="C44" s="5"/>
      <c r="D44" s="5">
        <v>1988</v>
      </c>
      <c r="E44" s="6">
        <f>IF(Table13[[#This Row],[JG]],2024-Table13[[#This Row],[JG]],0)</f>
        <v>36</v>
      </c>
      <c r="F44" s="5"/>
      <c r="G44" s="49">
        <f t="shared" si="0"/>
        <v>799.45676776822086</v>
      </c>
      <c r="H44" s="35">
        <f>_xlfn.RANK.EQ(Table13[[#This Row],[Gesamtpunkte]],Table13[Gesamtpunkte],0)</f>
        <v>42</v>
      </c>
      <c r="I44" s="28"/>
      <c r="J44" s="29" t="str">
        <f>IF(Table13[[#This Row],[Zeit LSC]]&gt;0,_xlfn.RANK.EQ(Table13[[#This Row],[Punkte LSC]],Table13[Punkte LSC],0)," ")</f>
        <v xml:space="preserve"> </v>
      </c>
      <c r="K44" s="30">
        <f>IF(Table13[[#This Row],[Zeit LSC]]&gt;0,MIN(Table13[Zeit LSC])/Table13[[#This Row],[Zeit LSC]]*1000,0)</f>
        <v>0</v>
      </c>
      <c r="L44" s="3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44" s="30">
        <f>(Table13[[#This Row],[Punkte LSC]]+Table13[[#This Row],[Bonus LSC]])</f>
        <v>0</v>
      </c>
      <c r="N44" s="32" t="str">
        <f>IF(Table13[[#This Row],[Zeit LSC]]&gt;0,_xlfn.RANK.EQ(Table13[[#This Row],[Gesamt LSC]],Table13[Gesamt LSC],0)," ")</f>
        <v xml:space="preserve"> </v>
      </c>
      <c r="O44" s="5"/>
      <c r="P44" s="6" t="str">
        <f>IF(Table13[[#This Row],[Zeit LKC]]&gt;0,_xlfn.RANK.EQ(Table13[[#This Row],[Punkte LKC]],Table13[Punkte LKC],0)," ")</f>
        <v xml:space="preserve"> </v>
      </c>
      <c r="Q44" s="16">
        <f>IF(Table13[[#This Row],[Zeit LKC]]&gt;0,MIN(Table13[Zeit LKC])/Table13[[#This Row],[Zeit LKC]]*1000,0)</f>
        <v>0</v>
      </c>
      <c r="R44" s="33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44" s="19">
        <f>(Table13[[#This Row],[Punkte LKC]]+Table13[[#This Row],[Bonus LKC]])</f>
        <v>0</v>
      </c>
      <c r="T44" s="25" t="str">
        <f>IF(Table13[[#This Row],[Zeit LKC]]&gt;0,_xlfn.RANK.EQ(Table13[[#This Row],[Gesamt LKC]],Table13[Gesamt LKC],0)," ")</f>
        <v xml:space="preserve"> </v>
      </c>
      <c r="U44" s="23">
        <f>MAX( S44,M44)</f>
        <v>0</v>
      </c>
      <c r="V44" s="14"/>
      <c r="W44" s="12" t="str">
        <f>IF(Table13[[#This Row],[Zeit S&amp;R]]&gt;0,_xlfn.RANK.EQ(Table13[[#This Row],[Punkte S&amp;R]],Table13[Punkte S&amp;R],0)," ")</f>
        <v xml:space="preserve"> </v>
      </c>
      <c r="X44" s="10">
        <f>IF(Table13[[#This Row],[Zeit S&amp;R]]&gt;0,MIN(Table13[Zeit S&amp;R])/Table13[[#This Row],[Zeit S&amp;R]]*1000,0)</f>
        <v>0</v>
      </c>
      <c r="Y44" s="11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44" s="10">
        <f>(Table13[[#This Row],[Punkte S&amp;R]]+Table13[[#This Row],[Bonus S&amp;R]])</f>
        <v>0</v>
      </c>
      <c r="AA44" s="21" t="str">
        <f>IF(Table13[[#This Row],[Zeit S&amp;R]]&gt;0,_xlfn.RANK.EQ(Table13[[#This Row],[Gesamt S&amp;R]],Table13[Gesamt S&amp;R],0)," ")</f>
        <v xml:space="preserve"> </v>
      </c>
      <c r="AB44" s="14"/>
      <c r="AC44" s="21" t="str">
        <f>IF(Table13[[#This Row],[Zeit LC]]&gt;0,_xlfn.RANK.EQ(Table13[[#This Row],[Punkte LC]],Table13[Punkte LC],0)," ")</f>
        <v xml:space="preserve"> </v>
      </c>
      <c r="AD44" s="10">
        <f>IF(Table13[[#This Row],[Zeit LC]]&gt;0,MIN(Table13[Zeit LC])/Table13[[#This Row],[Zeit LC]]*1000,0)</f>
        <v>0</v>
      </c>
      <c r="AE44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44" s="10">
        <f>(Table13[[#This Row],[Punkte LC]]+Table13[[#This Row],[Bonus LC]])</f>
        <v>0</v>
      </c>
      <c r="AG44" s="21" t="str">
        <f>IF(Table13[[#This Row],[Zeit LC]]&gt;0,_xlfn.RANK.EQ(Table13[[#This Row],[Gesamt LC]],Table13[Gesamt LC],0)," ")</f>
        <v xml:space="preserve"> </v>
      </c>
      <c r="AH44" s="23">
        <f>MAX( Z44,AF44)</f>
        <v>0</v>
      </c>
      <c r="AI44" s="14"/>
      <c r="AJ44" s="12" t="str">
        <f>IF(Table13[[#This Row],[Zeit BZF]]&gt;0,_xlfn.RANK.EQ(Table13[[#This Row],[Punkte BZF]],Table13[Punkte BZF],0)," ")</f>
        <v xml:space="preserve"> </v>
      </c>
      <c r="AK44" s="10">
        <f>IF(Table13[[#This Row],[Zeit BZF]]&gt;0,MIN(Table13[Zeit BZF])/Table13[[#This Row],[Zeit BZF]]*1000,0)</f>
        <v>0</v>
      </c>
      <c r="AL44" s="11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44" s="10">
        <f>(Table13[[#This Row],[Punkte BZF]]+Table13[[#This Row],[Bonus BZF]])</f>
        <v>0</v>
      </c>
      <c r="AN44" s="21" t="str">
        <f>IF(Table13[[#This Row],[Zeit BZF]]&gt;0,_xlfn.RANK.EQ(Table13[[#This Row],[Gesamt BZF]],Table13[Gesamt BZF],0)," ")</f>
        <v xml:space="preserve"> </v>
      </c>
      <c r="AO44" s="14">
        <v>2.5567129629629634E-2</v>
      </c>
      <c r="AP44" s="12">
        <f>IF(Table13[[#This Row],[Zeit EZF]]&gt;0,_xlfn.RANK.EQ(Table13[[#This Row],[Punkte EZF]],Table13[Punkte EZF],0)," ")</f>
        <v>20</v>
      </c>
      <c r="AQ44" s="10">
        <f>IF(Table13[[#This Row],[Zeit EZF]]&gt;0,MIN(Table13[Zeit EZF])/Table13[[#This Row],[Zeit EZF]]*1000,0)</f>
        <v>799.45676776822086</v>
      </c>
      <c r="AR44" s="11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44" s="10">
        <f>(Table13[[#This Row],[Punkte EZF]]+Table13[[#This Row],[Bonus EZF]])</f>
        <v>799.45676776822086</v>
      </c>
      <c r="AT44" s="21">
        <f>IF(Table13[[#This Row],[Zeit EZF]]&gt;0,_xlfn.RANK.EQ(Table13[[#This Row],[Gesamt EZF]],Table13[Gesamt EZF],0)," ")</f>
        <v>20</v>
      </c>
      <c r="AU44" s="26">
        <f t="shared" ref="AU44:AU45" si="11">MAX( AM44,AS44)</f>
        <v>799.45676776822086</v>
      </c>
    </row>
    <row r="45" spans="1:47" x14ac:dyDescent="0.25">
      <c r="A45" s="1" t="s">
        <v>129</v>
      </c>
      <c r="B45" s="1" t="s">
        <v>83</v>
      </c>
      <c r="C45" s="5"/>
      <c r="D45" s="5">
        <v>1994</v>
      </c>
      <c r="E45" s="6">
        <f>IF(Table13[[#This Row],[JG]],2024-Table13[[#This Row],[JG]],0)</f>
        <v>30</v>
      </c>
      <c r="F45" s="5"/>
      <c r="G45" s="49">
        <f t="shared" si="0"/>
        <v>795.85398828301049</v>
      </c>
      <c r="H45" s="35">
        <f>_xlfn.RANK.EQ(Table13[[#This Row],[Gesamtpunkte]],Table13[Gesamtpunkte],0)</f>
        <v>43</v>
      </c>
      <c r="I45" s="14"/>
      <c r="J45" s="20" t="str">
        <f>IF(Table13[[#This Row],[Zeit LSC]]&gt;0,_xlfn.RANK.EQ(Table13[[#This Row],[Punkte LSC]],Table13[Punkte LSC],0)," ")</f>
        <v xml:space="preserve"> </v>
      </c>
      <c r="K45" s="10">
        <f>IF(Table13[[#This Row],[Zeit LSC]]&gt;0,MIN(Table13[Zeit LSC])/Table13[[#This Row],[Zeit LSC]]*1000,0)</f>
        <v>0</v>
      </c>
      <c r="L45" s="1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45" s="10">
        <f>(Table13[[#This Row],[Punkte LSC]]+Table13[[#This Row],[Bonus LSC]])</f>
        <v>0</v>
      </c>
      <c r="N45" s="21" t="str">
        <f>IF(Table13[[#This Row],[Zeit LSC]]&gt;0,_xlfn.RANK.EQ(Table13[[#This Row],[Gesamt LSC]],Table13[Gesamt LSC],0)," ")</f>
        <v xml:space="preserve"> </v>
      </c>
      <c r="O45" s="14"/>
      <c r="P45" s="6" t="str">
        <f>IF(Table13[[#This Row],[Zeit LKC]]&gt;0,_xlfn.RANK.EQ(Table13[[#This Row],[Punkte LKC]],Table13[Punkte LKC],0)," ")</f>
        <v xml:space="preserve"> </v>
      </c>
      <c r="Q45" s="16">
        <f>IF(Table13[[#This Row],[Zeit LKC]]&gt;0,MIN(Table13[Zeit LKC])/Table13[[#This Row],[Zeit LKC]]*1000,0)</f>
        <v>0</v>
      </c>
      <c r="R45" s="19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45" s="19">
        <f>(Table13[[#This Row],[Punkte LKC]]+Table13[[#This Row],[Bonus LKC]])</f>
        <v>0</v>
      </c>
      <c r="T45" s="25" t="str">
        <f>IF(Table13[[#This Row],[Zeit LKC]]&gt;0,_xlfn.RANK.EQ(Table13[[#This Row],[Gesamt LKC]],Table13[Gesamt LKC],0)," ")</f>
        <v xml:space="preserve"> </v>
      </c>
      <c r="U45" s="23">
        <f>MAX( S45,M45)</f>
        <v>0</v>
      </c>
      <c r="V45" s="14"/>
      <c r="W45" s="12" t="str">
        <f>IF(Table13[[#This Row],[Zeit S&amp;R]]&gt;0,_xlfn.RANK.EQ(Table13[[#This Row],[Punkte S&amp;R]],Table13[Punkte S&amp;R],0)," ")</f>
        <v xml:space="preserve"> </v>
      </c>
      <c r="X45" s="10">
        <f>IF(Table13[[#This Row],[Zeit S&amp;R]]&gt;0,MIN(Table13[Zeit S&amp;R])/Table13[[#This Row],[Zeit S&amp;R]]*1000,0)</f>
        <v>0</v>
      </c>
      <c r="Y45" s="11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45" s="10">
        <f>(Table13[[#This Row],[Punkte S&amp;R]]+Table13[[#This Row],[Bonus S&amp;R]])</f>
        <v>0</v>
      </c>
      <c r="AA45" s="21" t="str">
        <f>IF(Table13[[#This Row],[Zeit S&amp;R]]&gt;0,_xlfn.RANK.EQ(Table13[[#This Row],[Gesamt S&amp;R]],Table13[Gesamt S&amp;R],0)," ")</f>
        <v xml:space="preserve"> </v>
      </c>
      <c r="AB45" s="14"/>
      <c r="AC45" s="21" t="str">
        <f>IF(Table13[[#This Row],[Zeit LC]]&gt;0,_xlfn.RANK.EQ(Table13[[#This Row],[Punkte LC]],Table13[Punkte LC],0)," ")</f>
        <v xml:space="preserve"> </v>
      </c>
      <c r="AD45" s="10">
        <f>IF(Table13[[#This Row],[Zeit LC]]&gt;0,MIN(Table13[Zeit LC])/Table13[[#This Row],[Zeit LC]]*1000,0)</f>
        <v>0</v>
      </c>
      <c r="AE45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45" s="10">
        <f>(Table13[[#This Row],[Punkte LC]]+Table13[[#This Row],[Bonus LC]])</f>
        <v>0</v>
      </c>
      <c r="AG45" s="21" t="str">
        <f>IF(Table13[[#This Row],[Zeit LC]]&gt;0,_xlfn.RANK.EQ(Table13[[#This Row],[Gesamt LC]],Table13[Gesamt LC],0)," ")</f>
        <v xml:space="preserve"> </v>
      </c>
      <c r="AH45" s="23">
        <f>MAX( Z45,AF45)</f>
        <v>0</v>
      </c>
      <c r="AI45" s="14"/>
      <c r="AJ45" s="12" t="str">
        <f>IF(Table13[[#This Row],[Zeit BZF]]&gt;0,_xlfn.RANK.EQ(Table13[[#This Row],[Punkte BZF]],Table13[Punkte BZF],0)," ")</f>
        <v xml:space="preserve"> </v>
      </c>
      <c r="AK45" s="10">
        <f>IF(Table13[[#This Row],[Zeit BZF]]&gt;0,MIN(Table13[Zeit BZF])/Table13[[#This Row],[Zeit BZF]]*1000,0)</f>
        <v>0</v>
      </c>
      <c r="AL45" s="11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45" s="10">
        <f>(Table13[[#This Row],[Punkte BZF]]+Table13[[#This Row],[Bonus BZF]])</f>
        <v>0</v>
      </c>
      <c r="AN45" s="21" t="str">
        <f>IF(Table13[[#This Row],[Zeit BZF]]&gt;0,_xlfn.RANK.EQ(Table13[[#This Row],[Gesamt BZF]],Table13[Gesamt BZF],0)," ")</f>
        <v xml:space="preserve"> </v>
      </c>
      <c r="AO45" s="14">
        <v>2.568287037037037E-2</v>
      </c>
      <c r="AP45" s="12">
        <f>IF(Table13[[#This Row],[Zeit EZF]]&gt;0,_xlfn.RANK.EQ(Table13[[#This Row],[Punkte EZF]],Table13[Punkte EZF],0)," ")</f>
        <v>21</v>
      </c>
      <c r="AQ45" s="10">
        <f>IF(Table13[[#This Row],[Zeit EZF]]&gt;0,MIN(Table13[Zeit EZF])/Table13[[#This Row],[Zeit EZF]]*1000,0)</f>
        <v>795.85398828301049</v>
      </c>
      <c r="AR45" s="11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45" s="10">
        <f>(Table13[[#This Row],[Punkte EZF]]+Table13[[#This Row],[Bonus EZF]])</f>
        <v>795.85398828301049</v>
      </c>
      <c r="AT45" s="21">
        <f>IF(Table13[[#This Row],[Zeit EZF]]&gt;0,_xlfn.RANK.EQ(Table13[[#This Row],[Gesamt EZF]],Table13[Gesamt EZF],0)," ")</f>
        <v>21</v>
      </c>
      <c r="AU45" s="26">
        <f t="shared" si="11"/>
        <v>795.85398828301049</v>
      </c>
    </row>
    <row r="46" spans="1:47" x14ac:dyDescent="0.25">
      <c r="A46" s="1" t="s">
        <v>173</v>
      </c>
      <c r="B46" s="1" t="s">
        <v>87</v>
      </c>
      <c r="C46" s="4">
        <v>1</v>
      </c>
      <c r="D46" s="4">
        <v>1993</v>
      </c>
      <c r="E46" s="4">
        <f>IF(Table13[[#This Row],[JG]],2024-Table13[[#This Row],[JG]],0)</f>
        <v>31</v>
      </c>
      <c r="F46" s="4"/>
      <c r="G46" s="49">
        <f t="shared" si="0"/>
        <v>788.39285714285722</v>
      </c>
      <c r="H46" s="35">
        <f>_xlfn.RANK.EQ(Table13[[#This Row],[Gesamtpunkte]],Table13[Gesamtpunkte],0)</f>
        <v>44</v>
      </c>
      <c r="I46" s="9"/>
      <c r="J46" s="13" t="str">
        <f>IF(Table13[[#This Row],[Zeit LSC]]&gt;0,_xlfn.RANK.EQ(Table13[[#This Row],[Punkte LSC]],Table13[Punkte LSC],0)," ")</f>
        <v xml:space="preserve"> </v>
      </c>
      <c r="K46" s="7">
        <f>IF(Table13[[#This Row],[Zeit LSC]]&gt;0,MIN(Table13[Zeit LSC])/Table13[[#This Row],[Zeit LSC]]*1000,0)</f>
        <v>0</v>
      </c>
      <c r="L46" s="8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46" s="7">
        <f>(Table13[[#This Row],[Punkte LSC]]+Table13[[#This Row],[Bonus LSC]])</f>
        <v>0</v>
      </c>
      <c r="N46" s="15" t="str">
        <f>IF(Table13[[#This Row],[Zeit LSC]]&gt;0,_xlfn.RANK.EQ(Table13[[#This Row],[Gesamt LSC]],Table13[Gesamt LSC],0)," ")</f>
        <v xml:space="preserve"> </v>
      </c>
      <c r="O46" s="9"/>
      <c r="P46" s="4" t="str">
        <f>IF(Table13[[#This Row],[Zeit LKC]]&gt;0,_xlfn.RANK.EQ(Table13[[#This Row],[Punkte LKC]],Table13[Punkte LKC],0)," ")</f>
        <v xml:space="preserve"> </v>
      </c>
      <c r="Q46" s="16">
        <f>IF(Table13[[#This Row],[Zeit LKC]]&gt;0,MIN(Table13[Zeit LKC])/Table13[[#This Row],[Zeit LKC]]*1000,0)</f>
        <v>0</v>
      </c>
      <c r="R46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46" s="16">
        <f>(Table13[[#This Row],[Punkte LKC]]+Table13[[#This Row],[Bonus LKC]])</f>
        <v>0</v>
      </c>
      <c r="T46" s="18" t="str">
        <f>IF(Table13[[#This Row],[Zeit LKC]]&gt;0,_xlfn.RANK.EQ(Table13[[#This Row],[Gesamt LKC]],Table13[Gesamt LKC],0)," ")</f>
        <v xml:space="preserve"> </v>
      </c>
      <c r="U46" s="23">
        <f>MAX( S46,M46)</f>
        <v>0</v>
      </c>
      <c r="V46" s="9"/>
      <c r="W46" s="12" t="str">
        <f>IF(Table13[[#This Row],[Zeit S&amp;R]]&gt;0,_xlfn.RANK.EQ(Table13[[#This Row],[Punkte S&amp;R]],Table13[Punkte S&amp;R],0)," ")</f>
        <v xml:space="preserve"> </v>
      </c>
      <c r="X46" s="7">
        <f>IF(Table13[[#This Row],[Zeit S&amp;R]]&gt;0,MIN(Table13[Zeit S&amp;R])/Table13[[#This Row],[Zeit S&amp;R]]*1000,0)</f>
        <v>0</v>
      </c>
      <c r="Y46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46" s="7">
        <f>(Table13[[#This Row],[Punkte S&amp;R]]+Table13[[#This Row],[Bonus S&amp;R]])</f>
        <v>0</v>
      </c>
      <c r="AA46" s="15" t="str">
        <f>IF(Table13[[#This Row],[Zeit S&amp;R]]&gt;0,_xlfn.RANK.EQ(Table13[[#This Row],[Gesamt S&amp;R]],Table13[Gesamt S&amp;R],0)," ")</f>
        <v xml:space="preserve"> </v>
      </c>
      <c r="AB46" s="9"/>
      <c r="AC46" s="15" t="str">
        <f>IF(Table13[[#This Row],[Zeit LC]]&gt;0,_xlfn.RANK.EQ(Table13[[#This Row],[Punkte LC]],Table13[Punkte LC],0)," ")</f>
        <v xml:space="preserve"> </v>
      </c>
      <c r="AD46" s="7">
        <f>IF(Table13[[#This Row],[Zeit LC]]&gt;0,MIN(Table13[Zeit LC])/Table13[[#This Row],[Zeit LC]]*1000,0)</f>
        <v>0</v>
      </c>
      <c r="AE46" s="7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46" s="7">
        <f>(Table13[[#This Row],[Punkte LC]]+Table13[[#This Row],[Bonus LC]])</f>
        <v>0</v>
      </c>
      <c r="AG46" s="15" t="str">
        <f>IF(Table13[[#This Row],[Zeit LC]]&gt;0,_xlfn.RANK.EQ(Table13[[#This Row],[Gesamt LC]],Table13[Gesamt LC],0)," ")</f>
        <v xml:space="preserve"> </v>
      </c>
      <c r="AH46" s="23">
        <f>MAX( Z46,AF46)</f>
        <v>0</v>
      </c>
      <c r="AI46" s="9"/>
      <c r="AJ46" s="12" t="str">
        <f>IF(Table13[[#This Row],[Zeit BZF]]&gt;0,_xlfn.RANK.EQ(Table13[[#This Row],[Punkte BZF]],Table13[Punkte BZF],0)," ")</f>
        <v xml:space="preserve"> </v>
      </c>
      <c r="AK46" s="10">
        <f>IF(Table13[[#This Row],[Zeit BZF]]&gt;0,MIN(Table13[Zeit BZF])/Table13[[#This Row],[Zeit BZF]]*1000,0)</f>
        <v>0</v>
      </c>
      <c r="AL46" s="8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46" s="7">
        <f>(Table13[[#This Row],[Punkte BZF]]+Table13[[#This Row],[Bonus BZF]])</f>
        <v>0</v>
      </c>
      <c r="AN46" s="15" t="str">
        <f>IF(Table13[[#This Row],[Zeit BZF]]&gt;0,_xlfn.RANK.EQ(Table13[[#This Row],[Gesamt BZF]],Table13[Gesamt BZF],0)," ")</f>
        <v xml:space="preserve"> </v>
      </c>
      <c r="AO46" s="9">
        <v>2.5925925925925925E-2</v>
      </c>
      <c r="AP46" s="12">
        <f>IF(Table13[[#This Row],[Zeit EZF]]&gt;0,_xlfn.RANK.EQ(Table13[[#This Row],[Punkte EZF]],Table13[Punkte EZF],0)," ")</f>
        <v>22</v>
      </c>
      <c r="AQ46" s="10">
        <f>IF(Table13[[#This Row],[Zeit EZF]]&gt;0,MIN(Table13[Zeit EZF])/Table13[[#This Row],[Zeit EZF]]*1000,0)</f>
        <v>788.39285714285722</v>
      </c>
      <c r="AR46" s="8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46" s="7">
        <f>(Table13[[#This Row],[Punkte EZF]]+Table13[[#This Row],[Bonus EZF]])</f>
        <v>788.39285714285722</v>
      </c>
      <c r="AT46" s="15">
        <f>IF(Table13[[#This Row],[Zeit EZF]]&gt;0,_xlfn.RANK.EQ(Table13[[#This Row],[Gesamt EZF]],Table13[Gesamt EZF],0)," ")</f>
        <v>22</v>
      </c>
      <c r="AU46" s="26">
        <f t="shared" ref="AU46" si="12">MAX( AM46,AS46)</f>
        <v>788.39285714285722</v>
      </c>
    </row>
    <row r="47" spans="1:47" x14ac:dyDescent="0.25">
      <c r="A47" s="1" t="s">
        <v>107</v>
      </c>
      <c r="B47" s="1" t="s">
        <v>108</v>
      </c>
      <c r="C47" s="5"/>
      <c r="D47" s="5">
        <v>1994</v>
      </c>
      <c r="E47" s="6">
        <f>IF(Table13[[#This Row],[JG]],2024-Table13[[#This Row],[JG]],0)</f>
        <v>30</v>
      </c>
      <c r="F47" s="4" t="s">
        <v>34</v>
      </c>
      <c r="G47" s="49">
        <f t="shared" si="0"/>
        <v>772.19282774838325</v>
      </c>
      <c r="H47" s="35">
        <f>_xlfn.RANK.EQ(Table13[[#This Row],[Gesamtpunkte]],Table13[Gesamtpunkte],0)</f>
        <v>45</v>
      </c>
      <c r="I47" s="14"/>
      <c r="J47" s="13" t="str">
        <f>IF(Table13[[#This Row],[Zeit LSC]]&gt;0,_xlfn.RANK.EQ(Table13[[#This Row],[Punkte LSC]],Table13[Punkte LSC],0)," ")</f>
        <v xml:space="preserve"> </v>
      </c>
      <c r="K47" s="10">
        <f>IF(Table13[[#This Row],[Zeit LSC]]&gt;0,MIN(Table13[Zeit LSC])/Table13[[#This Row],[Zeit LSC]]*1000,0)</f>
        <v>0</v>
      </c>
      <c r="L47" s="1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47" s="10">
        <f>(Table13[[#This Row],[Punkte LSC]]+Table13[[#This Row],[Bonus LSC]])</f>
        <v>0</v>
      </c>
      <c r="N47" s="15" t="str">
        <f>IF(Table13[[#This Row],[Zeit LSC]]&gt;0,_xlfn.RANK.EQ(Table13[[#This Row],[Gesamt LSC]],Table13[Gesamt LSC],0)," ")</f>
        <v xml:space="preserve"> </v>
      </c>
      <c r="O47" s="9"/>
      <c r="P47" s="5" t="str">
        <f>IF(Table13[[#This Row],[Zeit LKC]]&gt;0,_xlfn.RANK.EQ(Table13[[#This Row],[Punkte LKC]],Table13[Punkte LKC],0)," ")</f>
        <v xml:space="preserve"> </v>
      </c>
      <c r="Q47" s="16">
        <f>IF(Table13[[#This Row],[Zeit LKC]]&gt;0,MIN(Table13[Zeit LKC])/Table13[[#This Row],[Zeit LKC]]*1000,0)</f>
        <v>0</v>
      </c>
      <c r="R47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47" s="16">
        <f>(Table13[[#This Row],[Punkte LKC]]+Table13[[#This Row],[Bonus LKC]])</f>
        <v>0</v>
      </c>
      <c r="T47" s="18" t="str">
        <f>IF(Table13[[#This Row],[Zeit LKC]]&gt;0,_xlfn.RANK.EQ(Table13[[#This Row],[Gesamt LKC]],Table13[Gesamt LKC],0)," ")</f>
        <v xml:space="preserve"> </v>
      </c>
      <c r="U47" s="23">
        <f>MAX( S47,M47)</f>
        <v>0</v>
      </c>
      <c r="V47" s="14">
        <v>3.9375E-2</v>
      </c>
      <c r="W47" s="12">
        <f>IF(Table13[[#This Row],[Zeit S&amp;R]]&gt;0,_xlfn.RANK.EQ(Table13[[#This Row],[Punkte S&amp;R]],Table13[Punkte S&amp;R],0)," ")</f>
        <v>13</v>
      </c>
      <c r="X47" s="10">
        <f>IF(Table13[[#This Row],[Zeit S&amp;R]]&gt;0,MIN(Table13[Zeit S&amp;R])/Table13[[#This Row],[Zeit S&amp;R]]*1000,0)</f>
        <v>772.19282774838325</v>
      </c>
      <c r="Y47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47" s="10">
        <f>(Table13[[#This Row],[Punkte S&amp;R]]+Table13[[#This Row],[Bonus S&amp;R]])</f>
        <v>772.19282774838325</v>
      </c>
      <c r="AA47" s="15">
        <f>IF(Table13[[#This Row],[Zeit S&amp;R]]&gt;0,_xlfn.RANK.EQ(Table13[[#This Row],[Gesamt S&amp;R]],Table13[Gesamt S&amp;R],0)," ")</f>
        <v>17</v>
      </c>
      <c r="AB47" s="14"/>
      <c r="AC47" s="15" t="str">
        <f>IF(Table13[[#This Row],[Zeit LC]]&gt;0,_xlfn.RANK.EQ(Table13[[#This Row],[Punkte LC]],Table13[Punkte LC],0)," ")</f>
        <v xml:space="preserve"> </v>
      </c>
      <c r="AD47" s="10">
        <f>IF(Table13[[#This Row],[Zeit LC]]&gt;0,MIN(Table13[Zeit LC])/Table13[[#This Row],[Zeit LC]]*1000,0)</f>
        <v>0</v>
      </c>
      <c r="AE47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47" s="10">
        <f>(Table13[[#This Row],[Punkte LC]]+Table13[[#This Row],[Bonus LC]])</f>
        <v>0</v>
      </c>
      <c r="AG47" s="15" t="str">
        <f>IF(Table13[[#This Row],[Zeit LC]]&gt;0,_xlfn.RANK.EQ(Table13[[#This Row],[Gesamt LC]],Table13[Gesamt LC],0)," ")</f>
        <v xml:space="preserve"> </v>
      </c>
      <c r="AH47" s="23">
        <f>MAX( Z47,AF47)</f>
        <v>772.19282774838325</v>
      </c>
      <c r="AI47" s="14"/>
      <c r="AJ47" s="12" t="str">
        <f>IF(Table13[[#This Row],[Zeit BZF]]&gt;0,_xlfn.RANK.EQ(Table13[[#This Row],[Punkte BZF]],Table13[Punkte BZF],0)," ")</f>
        <v xml:space="preserve"> </v>
      </c>
      <c r="AK47" s="10">
        <f>IF(Table13[[#This Row],[Zeit BZF]]&gt;0,MIN(Table13[Zeit BZF])/Table13[[#This Row],[Zeit BZF]]*1000,0)</f>
        <v>0</v>
      </c>
      <c r="AL47" s="8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47" s="10">
        <f>(Table13[[#This Row],[Punkte BZF]]+Table13[[#This Row],[Bonus BZF]])</f>
        <v>0</v>
      </c>
      <c r="AN47" s="15" t="str">
        <f>IF(Table13[[#This Row],[Zeit BZF]]&gt;0,_xlfn.RANK.EQ(Table13[[#This Row],[Gesamt BZF]],Table13[Gesamt BZF],0)," ")</f>
        <v xml:space="preserve"> </v>
      </c>
      <c r="AO47" s="9"/>
      <c r="AP47" s="12" t="str">
        <f>IF(Table13[[#This Row],[Zeit EZF]]&gt;0,_xlfn.RANK.EQ(Table13[[#This Row],[Punkte EZF]],Table13[Punkte EZF],0)," ")</f>
        <v xml:space="preserve"> </v>
      </c>
      <c r="AQ47" s="10">
        <f>IF(Table13[[#This Row],[Zeit EZF]]&gt;0,MIN(Table13[Zeit EZF])/Table13[[#This Row],[Zeit EZF]]*1000,0)</f>
        <v>0</v>
      </c>
      <c r="AR47" s="8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47" s="10">
        <f>(Table13[[#This Row],[Punkte EZF]]+Table13[[#This Row],[Bonus EZF]])</f>
        <v>0</v>
      </c>
      <c r="AT47" s="15" t="str">
        <f>IF(Table13[[#This Row],[Zeit EZF]]&gt;0,_xlfn.RANK.EQ(Table13[[#This Row],[Gesamt EZF]],Table13[Gesamt EZF],0)," ")</f>
        <v xml:space="preserve"> </v>
      </c>
      <c r="AU47" s="26">
        <f t="shared" ref="AU47:AU48" si="13">MAX( AM47,AS47)</f>
        <v>0</v>
      </c>
    </row>
    <row r="48" spans="1:47" x14ac:dyDescent="0.25">
      <c r="A48" s="1" t="s">
        <v>63</v>
      </c>
      <c r="B48" s="1" t="s">
        <v>60</v>
      </c>
      <c r="C48" s="4">
        <v>1</v>
      </c>
      <c r="D48" s="4">
        <v>1985</v>
      </c>
      <c r="E48" s="4">
        <f>IF(Table13[[#This Row],[JG]],2024-Table13[[#This Row],[JG]],0)</f>
        <v>39</v>
      </c>
      <c r="F48" s="4"/>
      <c r="G48" s="49">
        <f t="shared" si="0"/>
        <v>755.70974270020247</v>
      </c>
      <c r="H48" s="35">
        <f>_xlfn.RANK.EQ(Table13[[#This Row],[Gesamtpunkte]],Table13[Gesamtpunkte],0)</f>
        <v>46</v>
      </c>
      <c r="I48" s="9">
        <v>4.0034722222222222E-2</v>
      </c>
      <c r="J48" s="13">
        <f>IF(Table13[[#This Row],[Zeit LSC]]&gt;0,_xlfn.RANK.EQ(Table13[[#This Row],[Punkte LSC]],Table13[Punkte LSC],0)," ")</f>
        <v>7</v>
      </c>
      <c r="K48" s="7">
        <f>IF(Table13[[#This Row],[Zeit LSC]]&gt;0,MIN(Table13[Zeit LSC])/Table13[[#This Row],[Zeit LSC]]*1000,0)</f>
        <v>755.70974270020247</v>
      </c>
      <c r="L48" s="8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48" s="7">
        <f>(Table13[[#This Row],[Punkte LSC]]+Table13[[#This Row],[Bonus LSC]])</f>
        <v>755.70974270020247</v>
      </c>
      <c r="N48" s="15">
        <f>IF(Table13[[#This Row],[Zeit LSC]]&gt;0,_xlfn.RANK.EQ(Table13[[#This Row],[Gesamt LSC]],Table13[Gesamt LSC],0)," ")</f>
        <v>8</v>
      </c>
      <c r="O48" s="9"/>
      <c r="P48" s="4" t="str">
        <f>IF(Table13[[#This Row],[Zeit LKC]]&gt;0,_xlfn.RANK.EQ(Table13[[#This Row],[Punkte LKC]],Table13[Punkte LKC],0)," ")</f>
        <v xml:space="preserve"> </v>
      </c>
      <c r="Q48" s="16">
        <f>IF(Table13[[#This Row],[Zeit LKC]]&gt;0,MIN(Table13[Zeit LKC])/Table13[[#This Row],[Zeit LKC]]*1000,0)</f>
        <v>0</v>
      </c>
      <c r="R48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48" s="16">
        <f>(Table13[[#This Row],[Punkte LKC]]+Table13[[#This Row],[Bonus LKC]])</f>
        <v>0</v>
      </c>
      <c r="T48" s="18" t="str">
        <f>IF(Table13[[#This Row],[Zeit LKC]]&gt;0,_xlfn.RANK.EQ(Table13[[#This Row],[Gesamt LKC]],Table13[Gesamt LKC],0)," ")</f>
        <v xml:space="preserve"> </v>
      </c>
      <c r="U48" s="23">
        <f>MAX( S48,M48)</f>
        <v>755.70974270020247</v>
      </c>
      <c r="V48" s="9"/>
      <c r="W48" s="12" t="str">
        <f>IF(Table13[[#This Row],[Zeit S&amp;R]]&gt;0,_xlfn.RANK.EQ(Table13[[#This Row],[Punkte S&amp;R]],Table13[Punkte S&amp;R],0)," ")</f>
        <v xml:space="preserve"> </v>
      </c>
      <c r="X48" s="7">
        <f>IF(Table13[[#This Row],[Zeit S&amp;R]]&gt;0,MIN(Table13[Zeit S&amp;R])/Table13[[#This Row],[Zeit S&amp;R]]*1000,0)</f>
        <v>0</v>
      </c>
      <c r="Y48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48" s="7">
        <f>(Table13[[#This Row],[Punkte S&amp;R]]+Table13[[#This Row],[Bonus S&amp;R]])</f>
        <v>0</v>
      </c>
      <c r="AA48" s="15" t="str">
        <f>IF(Table13[[#This Row],[Zeit S&amp;R]]&gt;0,_xlfn.RANK.EQ(Table13[[#This Row],[Gesamt S&amp;R]],Table13[Gesamt S&amp;R],0)," ")</f>
        <v xml:space="preserve"> </v>
      </c>
      <c r="AB48" s="7"/>
      <c r="AC48" s="15" t="str">
        <f>IF(Table13[[#This Row],[Zeit LC]]&gt;0,_xlfn.RANK.EQ(Table13[[#This Row],[Punkte LC]],Table13[Punkte LC],0)," ")</f>
        <v xml:space="preserve"> </v>
      </c>
      <c r="AD48" s="7">
        <f>IF(Table13[[#This Row],[Zeit LC]]&gt;0,MIN(Table13[Zeit LC])/Table13[[#This Row],[Zeit LC]]*1000,0)</f>
        <v>0</v>
      </c>
      <c r="AE48" s="7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48" s="7">
        <f>(Table13[[#This Row],[Punkte LC]]+Table13[[#This Row],[Bonus LC]])</f>
        <v>0</v>
      </c>
      <c r="AG48" s="15" t="str">
        <f>IF(Table13[[#This Row],[Zeit LC]]&gt;0,_xlfn.RANK.EQ(Table13[[#This Row],[Gesamt LC]],Table13[Gesamt LC],0)," ")</f>
        <v xml:space="preserve"> </v>
      </c>
      <c r="AH48" s="23">
        <f>MAX( Z48,AF48)</f>
        <v>0</v>
      </c>
      <c r="AI48" s="9"/>
      <c r="AJ48" s="12" t="str">
        <f>IF(Table13[[#This Row],[Zeit BZF]]&gt;0,_xlfn.RANK.EQ(Table13[[#This Row],[Punkte BZF]],Table13[Punkte BZF],0)," ")</f>
        <v xml:space="preserve"> </v>
      </c>
      <c r="AK48" s="10">
        <f>IF(Table13[[#This Row],[Zeit BZF]]&gt;0,MIN(Table13[Zeit BZF])/Table13[[#This Row],[Zeit BZF]]*1000,0)</f>
        <v>0</v>
      </c>
      <c r="AL48" s="8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48" s="7">
        <f>(Table13[[#This Row],[Punkte BZF]]+Table13[[#This Row],[Bonus BZF]])</f>
        <v>0</v>
      </c>
      <c r="AN48" s="15" t="str">
        <f>IF(Table13[[#This Row],[Zeit BZF]]&gt;0,_xlfn.RANK.EQ(Table13[[#This Row],[Gesamt BZF]],Table13[Gesamt BZF],0)," ")</f>
        <v xml:space="preserve"> </v>
      </c>
      <c r="AO48" s="9"/>
      <c r="AP48" s="12" t="str">
        <f>IF(Table13[[#This Row],[Zeit EZF]]&gt;0,_xlfn.RANK.EQ(Table13[[#This Row],[Punkte EZF]],Table13[Punkte EZF],0)," ")</f>
        <v xml:space="preserve"> </v>
      </c>
      <c r="AQ48" s="10">
        <f>IF(Table13[[#This Row],[Zeit EZF]]&gt;0,MIN(Table13[Zeit EZF])/Table13[[#This Row],[Zeit EZF]]*1000,0)</f>
        <v>0</v>
      </c>
      <c r="AR48" s="8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48" s="7">
        <f>(Table13[[#This Row],[Punkte EZF]]+Table13[[#This Row],[Bonus EZF]])</f>
        <v>0</v>
      </c>
      <c r="AT48" s="15" t="str">
        <f>IF(Table13[[#This Row],[Zeit EZF]]&gt;0,_xlfn.RANK.EQ(Table13[[#This Row],[Gesamt EZF]],Table13[Gesamt EZF],0)," ")</f>
        <v xml:space="preserve"> </v>
      </c>
      <c r="AU48" s="26">
        <f t="shared" si="13"/>
        <v>0</v>
      </c>
    </row>
    <row r="49" spans="1:47" x14ac:dyDescent="0.25">
      <c r="A49" s="1" t="s">
        <v>134</v>
      </c>
      <c r="B49" s="1" t="s">
        <v>135</v>
      </c>
      <c r="C49" s="5"/>
      <c r="D49" s="5">
        <v>2001</v>
      </c>
      <c r="E49" s="6">
        <f>IF(Table13[[#This Row],[JG]],2024-Table13[[#This Row],[JG]],0)</f>
        <v>23</v>
      </c>
      <c r="F49" s="5"/>
      <c r="G49" s="49">
        <f t="shared" si="0"/>
        <v>751.43020594965674</v>
      </c>
      <c r="H49" s="35">
        <f>_xlfn.RANK.EQ(Table13[[#This Row],[Gesamtpunkte]],Table13[Gesamtpunkte],0)</f>
        <v>47</v>
      </c>
      <c r="I49" s="14"/>
      <c r="J49" s="13" t="str">
        <f>IF(Table13[[#This Row],[Zeit LSC]]&gt;0,_xlfn.RANK.EQ(Table13[[#This Row],[Punkte LSC]],Table13[Punkte LSC],0)," ")</f>
        <v xml:space="preserve"> </v>
      </c>
      <c r="K49" s="10">
        <f>IF(Table13[[#This Row],[Zeit LSC]]&gt;0,MIN(Table13[Zeit LSC])/Table13[[#This Row],[Zeit LSC]]*1000,0)</f>
        <v>0</v>
      </c>
      <c r="L49" s="1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49" s="10">
        <f>(Table13[[#This Row],[Punkte LSC]]+Table13[[#This Row],[Bonus LSC]])</f>
        <v>0</v>
      </c>
      <c r="N49" s="15" t="str">
        <f>IF(Table13[[#This Row],[Zeit LSC]]&gt;0,_xlfn.RANK.EQ(Table13[[#This Row],[Gesamt LSC]],Table13[Gesamt LSC],0)," ")</f>
        <v xml:space="preserve"> </v>
      </c>
      <c r="O49" s="9"/>
      <c r="P49" s="5" t="str">
        <f>IF(Table13[[#This Row],[Zeit LKC]]&gt;0,_xlfn.RANK.EQ(Table13[[#This Row],[Punkte LKC]],Table13[Punkte LKC],0)," ")</f>
        <v xml:space="preserve"> </v>
      </c>
      <c r="Q49" s="16">
        <f>IF(Table13[[#This Row],[Zeit LKC]]&gt;0,MIN(Table13[Zeit LKC])/Table13[[#This Row],[Zeit LKC]]*1000,0)</f>
        <v>0</v>
      </c>
      <c r="R49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49" s="16">
        <f>(Table13[[#This Row],[Punkte LKC]]+Table13[[#This Row],[Bonus LKC]])</f>
        <v>0</v>
      </c>
      <c r="T49" s="18" t="str">
        <f>IF(Table13[[#This Row],[Zeit LKC]]&gt;0,_xlfn.RANK.EQ(Table13[[#This Row],[Gesamt LKC]],Table13[Gesamt LKC],0)," ")</f>
        <v xml:space="preserve"> </v>
      </c>
      <c r="U49" s="23">
        <f>MAX( S49,M49)</f>
        <v>0</v>
      </c>
      <c r="V49" s="14">
        <v>4.0462962962962964E-2</v>
      </c>
      <c r="W49" s="12">
        <f>IF(Table13[[#This Row],[Zeit S&amp;R]]&gt;0,_xlfn.RANK.EQ(Table13[[#This Row],[Punkte S&amp;R]],Table13[Punkte S&amp;R],0)," ")</f>
        <v>16</v>
      </c>
      <c r="X49" s="10">
        <f>IF(Table13[[#This Row],[Zeit S&amp;R]]&gt;0,MIN(Table13[Zeit S&amp;R])/Table13[[#This Row],[Zeit S&amp;R]]*1000,0)</f>
        <v>751.43020594965674</v>
      </c>
      <c r="Y49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49" s="10">
        <f>(Table13[[#This Row],[Punkte S&amp;R]]+Table13[[#This Row],[Bonus S&amp;R]])</f>
        <v>751.43020594965674</v>
      </c>
      <c r="AA49" s="15">
        <f>IF(Table13[[#This Row],[Zeit S&amp;R]]&gt;0,_xlfn.RANK.EQ(Table13[[#This Row],[Gesamt S&amp;R]],Table13[Gesamt S&amp;R],0)," ")</f>
        <v>18</v>
      </c>
      <c r="AB49" s="9"/>
      <c r="AC49" s="15" t="str">
        <f>IF(Table13[[#This Row],[Zeit LC]]&gt;0,_xlfn.RANK.EQ(Table13[[#This Row],[Punkte LC]],Table13[Punkte LC],0)," ")</f>
        <v xml:space="preserve"> </v>
      </c>
      <c r="AD49" s="10">
        <f>IF(Table13[[#This Row],[Zeit LC]]&gt;0,MIN(Table13[Zeit LC])/Table13[[#This Row],[Zeit LC]]*1000,0)</f>
        <v>0</v>
      </c>
      <c r="AE49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49" s="10">
        <f>(Table13[[#This Row],[Punkte LC]]+Table13[[#This Row],[Bonus LC]])</f>
        <v>0</v>
      </c>
      <c r="AG49" s="15" t="str">
        <f>IF(Table13[[#This Row],[Zeit LC]]&gt;0,_xlfn.RANK.EQ(Table13[[#This Row],[Gesamt LC]],Table13[Gesamt LC],0)," ")</f>
        <v xml:space="preserve"> </v>
      </c>
      <c r="AH49" s="23">
        <f>MAX( Z49,AF49)</f>
        <v>751.43020594965674</v>
      </c>
      <c r="AI49" s="9"/>
      <c r="AJ49" s="12" t="str">
        <f>IF(Table13[[#This Row],[Zeit BZF]]&gt;0,_xlfn.RANK.EQ(Table13[[#This Row],[Punkte BZF]],Table13[Punkte BZF],0)," ")</f>
        <v xml:space="preserve"> </v>
      </c>
      <c r="AK49" s="10">
        <f>IF(Table13[[#This Row],[Zeit BZF]]&gt;0,MIN(Table13[Zeit BZF])/Table13[[#This Row],[Zeit BZF]]*1000,0)</f>
        <v>0</v>
      </c>
      <c r="AL49" s="8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49" s="10">
        <f>(Table13[[#This Row],[Punkte BZF]]+Table13[[#This Row],[Bonus BZF]])</f>
        <v>0</v>
      </c>
      <c r="AN49" s="15" t="str">
        <f>IF(Table13[[#This Row],[Zeit BZF]]&gt;0,_xlfn.RANK.EQ(Table13[[#This Row],[Gesamt BZF]],Table13[Gesamt BZF],0)," ")</f>
        <v xml:space="preserve"> </v>
      </c>
      <c r="AO49" s="14"/>
      <c r="AP49" s="12" t="str">
        <f>IF(Table13[[#This Row],[Zeit EZF]]&gt;0,_xlfn.RANK.EQ(Table13[[#This Row],[Punkte EZF]],Table13[Punkte EZF],0)," ")</f>
        <v xml:space="preserve"> </v>
      </c>
      <c r="AQ49" s="10">
        <f>IF(Table13[[#This Row],[Zeit EZF]]&gt;0,MIN(Table13[Zeit EZF])/Table13[[#This Row],[Zeit EZF]]*1000,0)</f>
        <v>0</v>
      </c>
      <c r="AR49" s="8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49" s="10">
        <f>(Table13[[#This Row],[Punkte EZF]]+Table13[[#This Row],[Bonus EZF]])</f>
        <v>0</v>
      </c>
      <c r="AT49" s="15" t="str">
        <f>IF(Table13[[#This Row],[Zeit EZF]]&gt;0,_xlfn.RANK.EQ(Table13[[#This Row],[Gesamt EZF]],Table13[Gesamt EZF],0)," ")</f>
        <v xml:space="preserve"> </v>
      </c>
      <c r="AU49" s="26">
        <f t="shared" ref="AU49" si="14">MAX( AM49,AS49)</f>
        <v>0</v>
      </c>
    </row>
    <row r="50" spans="1:47" x14ac:dyDescent="0.25">
      <c r="A50" s="1" t="s">
        <v>167</v>
      </c>
      <c r="B50" s="1" t="s">
        <v>97</v>
      </c>
      <c r="C50" s="5"/>
      <c r="D50" s="5">
        <v>1989</v>
      </c>
      <c r="E50" s="6">
        <f>IF(Table13[[#This Row],[JG]],2024-Table13[[#This Row],[JG]],0)</f>
        <v>35</v>
      </c>
      <c r="F50" s="4" t="s">
        <v>34</v>
      </c>
      <c r="G50" s="49">
        <f t="shared" si="0"/>
        <v>751.03163686382391</v>
      </c>
      <c r="H50" s="35">
        <f>_xlfn.RANK.EQ(Table13[[#This Row],[Gesamtpunkte]],Table13[Gesamtpunkte],0)</f>
        <v>48</v>
      </c>
      <c r="I50" s="14"/>
      <c r="J50" s="13" t="str">
        <f>IF(Table13[[#This Row],[Zeit LSC]]&gt;0,_xlfn.RANK.EQ(Table13[[#This Row],[Punkte LSC]],Table13[Punkte LSC],0)," ")</f>
        <v xml:space="preserve"> </v>
      </c>
      <c r="K50" s="10">
        <f>IF(Table13[[#This Row],[Zeit LSC]]&gt;0,MIN(Table13[Zeit LSC])/Table13[[#This Row],[Zeit LSC]]*1000,0)</f>
        <v>0</v>
      </c>
      <c r="L50" s="1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50" s="10">
        <f>(Table13[[#This Row],[Punkte LSC]]+Table13[[#This Row],[Bonus LSC]])</f>
        <v>0</v>
      </c>
      <c r="N50" s="15" t="str">
        <f>IF(Table13[[#This Row],[Zeit LSC]]&gt;0,_xlfn.RANK.EQ(Table13[[#This Row],[Gesamt LSC]],Table13[Gesamt LSC],0)," ")</f>
        <v xml:space="preserve"> </v>
      </c>
      <c r="O50" s="9"/>
      <c r="P50" s="5" t="str">
        <f>IF(Table13[[#This Row],[Zeit LKC]]&gt;0,_xlfn.RANK.EQ(Table13[[#This Row],[Punkte LKC]],Table13[Punkte LKC],0)," ")</f>
        <v xml:space="preserve"> </v>
      </c>
      <c r="Q50" s="16">
        <f>IF(Table13[[#This Row],[Zeit LKC]]&gt;0,MIN(Table13[Zeit LKC])/Table13[[#This Row],[Zeit LKC]]*1000,0)</f>
        <v>0</v>
      </c>
      <c r="R50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50" s="16">
        <f>(Table13[[#This Row],[Punkte LKC]]+Table13[[#This Row],[Bonus LKC]])</f>
        <v>0</v>
      </c>
      <c r="T50" s="18" t="str">
        <f>IF(Table13[[#This Row],[Zeit LKC]]&gt;0,_xlfn.RANK.EQ(Table13[[#This Row],[Gesamt LKC]],Table13[Gesamt LKC],0)," ")</f>
        <v xml:space="preserve"> </v>
      </c>
      <c r="U50" s="23">
        <f>MAX( S50,M50)</f>
        <v>0</v>
      </c>
      <c r="V50" s="14"/>
      <c r="W50" s="12" t="str">
        <f>IF(Table13[[#This Row],[Zeit S&amp;R]]&gt;0,_xlfn.RANK.EQ(Table13[[#This Row],[Punkte S&amp;R]],Table13[Punkte S&amp;R],0)," ")</f>
        <v xml:space="preserve"> </v>
      </c>
      <c r="X50" s="10">
        <f>IF(Table13[[#This Row],[Zeit S&amp;R]]&gt;0,MIN(Table13[Zeit S&amp;R])/Table13[[#This Row],[Zeit S&amp;R]]*1000,0)</f>
        <v>0</v>
      </c>
      <c r="Y50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50" s="10">
        <f>(Table13[[#This Row],[Punkte S&amp;R]]+Table13[[#This Row],[Bonus S&amp;R]])</f>
        <v>0</v>
      </c>
      <c r="AA50" s="15" t="str">
        <f>IF(Table13[[#This Row],[Zeit S&amp;R]]&gt;0,_xlfn.RANK.EQ(Table13[[#This Row],[Gesamt S&amp;R]],Table13[Gesamt S&amp;R],0)," ")</f>
        <v xml:space="preserve"> </v>
      </c>
      <c r="AB50" s="14"/>
      <c r="AC50" s="15" t="str">
        <f>IF(Table13[[#This Row],[Zeit LC]]&gt;0,_xlfn.RANK.EQ(Table13[[#This Row],[Punkte LC]],Table13[Punkte LC],0)," ")</f>
        <v xml:space="preserve"> </v>
      </c>
      <c r="AD50" s="10">
        <f>IF(Table13[[#This Row],[Zeit LC]]&gt;0,MIN(Table13[Zeit LC])/Table13[[#This Row],[Zeit LC]]*1000,0)</f>
        <v>0</v>
      </c>
      <c r="AE50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50" s="10">
        <f>(Table13[[#This Row],[Punkte LC]]+Table13[[#This Row],[Bonus LC]])</f>
        <v>0</v>
      </c>
      <c r="AG50" s="15" t="str">
        <f>IF(Table13[[#This Row],[Zeit LC]]&gt;0,_xlfn.RANK.EQ(Table13[[#This Row],[Gesamt LC]],Table13[Gesamt LC],0)," ")</f>
        <v xml:space="preserve"> </v>
      </c>
      <c r="AH50" s="23">
        <f>MAX( Z50,AF50)</f>
        <v>0</v>
      </c>
      <c r="AI50" s="14">
        <v>1.6828703703703703E-2</v>
      </c>
      <c r="AJ50" s="12">
        <f>IF(Table13[[#This Row],[Zeit BZF]]&gt;0,_xlfn.RANK.EQ(Table13[[#This Row],[Punkte BZF]],Table13[Punkte BZF],0)," ")</f>
        <v>17</v>
      </c>
      <c r="AK50" s="10">
        <f>IF(Table13[[#This Row],[Zeit BZF]]&gt;0,MIN(Table13[Zeit BZF])/Table13[[#This Row],[Zeit BZF]]*1000,0)</f>
        <v>751.03163686382391</v>
      </c>
      <c r="AL50" s="8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50" s="10">
        <f>(Table13[[#This Row],[Punkte BZF]]+Table13[[#This Row],[Bonus BZF]])</f>
        <v>751.03163686382391</v>
      </c>
      <c r="AN50" s="15">
        <f>IF(Table13[[#This Row],[Zeit BZF]]&gt;0,_xlfn.RANK.EQ(Table13[[#This Row],[Gesamt BZF]],Table13[Gesamt BZF],0)," ")</f>
        <v>17</v>
      </c>
      <c r="AO50" s="14"/>
      <c r="AP50" s="12" t="str">
        <f>IF(Table13[[#This Row],[Zeit EZF]]&gt;0,_xlfn.RANK.EQ(Table13[[#This Row],[Punkte EZF]],Table13[Punkte EZF],0)," ")</f>
        <v xml:space="preserve"> </v>
      </c>
      <c r="AQ50" s="10">
        <f>IF(Table13[[#This Row],[Zeit EZF]]&gt;0,MIN(Table13[Zeit EZF])/Table13[[#This Row],[Zeit EZF]]*1000,0)</f>
        <v>0</v>
      </c>
      <c r="AR50" s="8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50" s="10">
        <f>(Table13[[#This Row],[Punkte EZF]]+Table13[[#This Row],[Bonus EZF]])</f>
        <v>0</v>
      </c>
      <c r="AT50" s="15" t="str">
        <f>IF(Table13[[#This Row],[Zeit EZF]]&gt;0,_xlfn.RANK.EQ(Table13[[#This Row],[Gesamt EZF]],Table13[Gesamt EZF],0)," ")</f>
        <v xml:space="preserve"> </v>
      </c>
      <c r="AU50" s="26">
        <f t="shared" si="1"/>
        <v>751.03163686382391</v>
      </c>
    </row>
    <row r="51" spans="1:47" x14ac:dyDescent="0.25">
      <c r="A51" s="27" t="s">
        <v>66</v>
      </c>
      <c r="B51" s="27" t="s">
        <v>67</v>
      </c>
      <c r="C51" s="5"/>
      <c r="D51" s="5">
        <v>1963</v>
      </c>
      <c r="E51" s="6">
        <f>IF(Table13[[#This Row],[JG]],2024-Table13[[#This Row],[JG]],0)</f>
        <v>61</v>
      </c>
      <c r="F51" s="5"/>
      <c r="G51" s="49">
        <f t="shared" si="0"/>
        <v>743.46946329426294</v>
      </c>
      <c r="H51" s="35">
        <f>_xlfn.RANK.EQ(Table13[[#This Row],[Gesamtpunkte]],Table13[Gesamtpunkte],0)</f>
        <v>49</v>
      </c>
      <c r="I51" s="14"/>
      <c r="J51" s="13" t="str">
        <f>IF(Table13[[#This Row],[Zeit LSC]]&gt;0,_xlfn.RANK.EQ(Table13[[#This Row],[Punkte LSC]],Table13[Punkte LSC],0)," ")</f>
        <v xml:space="preserve"> </v>
      </c>
      <c r="K51" s="10">
        <f>IF(Table13[[#This Row],[Zeit LSC]]&gt;0,MIN(Table13[Zeit LSC])/Table13[[#This Row],[Zeit LSC]]*1000,0)</f>
        <v>0</v>
      </c>
      <c r="L51" s="1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51" s="10">
        <f>(Table13[[#This Row],[Punkte LSC]]+Table13[[#This Row],[Bonus LSC]])</f>
        <v>0</v>
      </c>
      <c r="N51" s="15" t="str">
        <f>IF(Table13[[#This Row],[Zeit LSC]]&gt;0,_xlfn.RANK.EQ(Table13[[#This Row],[Gesamt LSC]],Table13[Gesamt LSC],0)," ")</f>
        <v xml:space="preserve"> </v>
      </c>
      <c r="O51" s="9">
        <v>1.8761574074074073E-2</v>
      </c>
      <c r="P51" s="5">
        <f>IF(Table13[[#This Row],[Zeit LKC]]&gt;0,_xlfn.RANK.EQ(Table13[[#This Row],[Punkte LKC]],Table13[Punkte LKC],0)," ")</f>
        <v>5</v>
      </c>
      <c r="Q51" s="16">
        <f>IF(Table13[[#This Row],[Zeit LKC]]&gt;0,MIN(Table13[Zeit LKC])/Table13[[#This Row],[Zeit LKC]]*1000,0)</f>
        <v>659.46946329426294</v>
      </c>
      <c r="R51" s="17">
        <f>IF(Table13[[#This Row],[Zeit LKC]]&gt;0,SUM(IF(Table13[[#This Row],[Alter]]&gt;40,(Table13[[#This Row],[Alter]]-40)*4,0),IF(AND(Table13[[#This Row],[Alter]]&lt;20,Table13[[#This Row],[Alter]]&gt;0),(20-Table13[[#This Row],[Alter]])*10,0)),0)</f>
        <v>84</v>
      </c>
      <c r="S51" s="16">
        <f>(Table13[[#This Row],[Punkte LKC]]+Table13[[#This Row],[Bonus LKC]])</f>
        <v>743.46946329426294</v>
      </c>
      <c r="T51" s="18">
        <f>IF(Table13[[#This Row],[Zeit LKC]]&gt;0,_xlfn.RANK.EQ(Table13[[#This Row],[Gesamt LKC]],Table13[Gesamt LKC],0)," ")</f>
        <v>4</v>
      </c>
      <c r="U51" s="23">
        <f>MAX( S51,M51)</f>
        <v>743.46946329426294</v>
      </c>
      <c r="V51" s="14"/>
      <c r="W51" s="12" t="str">
        <f>IF(Table13[[#This Row],[Zeit S&amp;R]]&gt;0,_xlfn.RANK.EQ(Table13[[#This Row],[Punkte S&amp;R]],Table13[Punkte S&amp;R],0)," ")</f>
        <v xml:space="preserve"> </v>
      </c>
      <c r="X51" s="10">
        <f>IF(Table13[[#This Row],[Zeit S&amp;R]]&gt;0,MIN(Table13[Zeit S&amp;R])/Table13[[#This Row],[Zeit S&amp;R]]*1000,0)</f>
        <v>0</v>
      </c>
      <c r="Y51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51" s="10">
        <f>(Table13[[#This Row],[Punkte S&amp;R]]+Table13[[#This Row],[Bonus S&amp;R]])</f>
        <v>0</v>
      </c>
      <c r="AA51" s="15" t="str">
        <f>IF(Table13[[#This Row],[Zeit S&amp;R]]&gt;0,_xlfn.RANK.EQ(Table13[[#This Row],[Gesamt S&amp;R]],Table13[Gesamt S&amp;R],0)," ")</f>
        <v xml:space="preserve"> </v>
      </c>
      <c r="AB51" s="9"/>
      <c r="AC51" s="15" t="str">
        <f>IF(Table13[[#This Row],[Zeit LC]]&gt;0,_xlfn.RANK.EQ(Table13[[#This Row],[Punkte LC]],Table13[Punkte LC],0)," ")</f>
        <v xml:space="preserve"> </v>
      </c>
      <c r="AD51" s="10">
        <f>IF(Table13[[#This Row],[Zeit LC]]&gt;0,MIN(Table13[Zeit LC])/Table13[[#This Row],[Zeit LC]]*1000,0)</f>
        <v>0</v>
      </c>
      <c r="AE51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51" s="10">
        <f>(Table13[[#This Row],[Punkte LC]]+Table13[[#This Row],[Bonus LC]])</f>
        <v>0</v>
      </c>
      <c r="AG51" s="15" t="str">
        <f>IF(Table13[[#This Row],[Zeit LC]]&gt;0,_xlfn.RANK.EQ(Table13[[#This Row],[Gesamt LC]],Table13[Gesamt LC],0)," ")</f>
        <v xml:space="preserve"> </v>
      </c>
      <c r="AH51" s="23">
        <f>MAX( Z51,AF51)</f>
        <v>0</v>
      </c>
      <c r="AI51" s="14"/>
      <c r="AJ51" s="12" t="str">
        <f>IF(Table13[[#This Row],[Zeit BZF]]&gt;0,_xlfn.RANK.EQ(Table13[[#This Row],[Punkte BZF]],Table13[Punkte BZF],0)," ")</f>
        <v xml:space="preserve"> </v>
      </c>
      <c r="AK51" s="10">
        <f>IF(Table13[[#This Row],[Zeit BZF]]&gt;0,MIN(Table13[Zeit BZF])/Table13[[#This Row],[Zeit BZF]]*1000,0)</f>
        <v>0</v>
      </c>
      <c r="AL51" s="8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51" s="10">
        <f>(Table13[[#This Row],[Punkte BZF]]+Table13[[#This Row],[Bonus BZF]])</f>
        <v>0</v>
      </c>
      <c r="AN51" s="15" t="str">
        <f>IF(Table13[[#This Row],[Zeit BZF]]&gt;0,_xlfn.RANK.EQ(Table13[[#This Row],[Gesamt BZF]],Table13[Gesamt BZF],0)," ")</f>
        <v xml:space="preserve"> </v>
      </c>
      <c r="AO51" s="14"/>
      <c r="AP51" s="12" t="str">
        <f>IF(Table13[[#This Row],[Zeit EZF]]&gt;0,_xlfn.RANK.EQ(Table13[[#This Row],[Punkte EZF]],Table13[Punkte EZF],0)," ")</f>
        <v xml:space="preserve"> </v>
      </c>
      <c r="AQ51" s="10">
        <f>IF(Table13[[#This Row],[Zeit EZF]]&gt;0,MIN(Table13[Zeit EZF])/Table13[[#This Row],[Zeit EZF]]*1000,0)</f>
        <v>0</v>
      </c>
      <c r="AR51" s="8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51" s="10">
        <f>(Table13[[#This Row],[Punkte EZF]]+Table13[[#This Row],[Bonus EZF]])</f>
        <v>0</v>
      </c>
      <c r="AT51" s="15" t="str">
        <f>IF(Table13[[#This Row],[Zeit EZF]]&gt;0,_xlfn.RANK.EQ(Table13[[#This Row],[Gesamt EZF]],Table13[Gesamt EZF],0)," ")</f>
        <v xml:space="preserve"> </v>
      </c>
      <c r="AU51" s="26">
        <f t="shared" si="1"/>
        <v>0</v>
      </c>
    </row>
    <row r="52" spans="1:47" x14ac:dyDescent="0.25">
      <c r="A52" s="1" t="s">
        <v>68</v>
      </c>
      <c r="B52" s="1" t="s">
        <v>69</v>
      </c>
      <c r="C52" s="4">
        <v>1</v>
      </c>
      <c r="D52" s="4">
        <v>1965</v>
      </c>
      <c r="E52" s="4">
        <f>IF(Table13[[#This Row],[JG]],2024-Table13[[#This Row],[JG]],0)</f>
        <v>59</v>
      </c>
      <c r="F52" s="4"/>
      <c r="G52" s="49">
        <f t="shared" si="0"/>
        <v>729.66341585396356</v>
      </c>
      <c r="H52" s="35">
        <f>_xlfn.RANK.EQ(Table13[[#This Row],[Gesamtpunkte]],Table13[Gesamtpunkte],0)</f>
        <v>50</v>
      </c>
      <c r="I52" s="9">
        <v>4.628472222222222E-2</v>
      </c>
      <c r="J52" s="13">
        <f>IF(Table13[[#This Row],[Zeit LSC]]&gt;0,_xlfn.RANK.EQ(Table13[[#This Row],[Punkte LSC]],Table13[Punkte LSC],0)," ")</f>
        <v>10</v>
      </c>
      <c r="K52" s="7">
        <f>IF(Table13[[#This Row],[Zeit LSC]]&gt;0,MIN(Table13[Zeit LSC])/Table13[[#This Row],[Zeit LSC]]*1000,0)</f>
        <v>653.66341585396356</v>
      </c>
      <c r="L52" s="8">
        <f>IF(Table13[[#This Row],[Zeit LSC]]&gt;0,SUM(IF(Table13[[#This Row],[Alter]]&gt;40,(Table13[[#This Row],[Alter]]-40)*4,0),IF(AND(Table13[[#This Row],[Alter]]&lt;20,Table13[[#This Row],[Alter]]&gt;0),(20-Table13[[#This Row],[Alter]])*10,0)),0)</f>
        <v>76</v>
      </c>
      <c r="M52" s="7">
        <f>(Table13[[#This Row],[Punkte LSC]]+Table13[[#This Row],[Bonus LSC]])</f>
        <v>729.66341585396356</v>
      </c>
      <c r="N52" s="15">
        <f>IF(Table13[[#This Row],[Zeit LSC]]&gt;0,_xlfn.RANK.EQ(Table13[[#This Row],[Gesamt LSC]],Table13[Gesamt LSC],0)," ")</f>
        <v>9</v>
      </c>
      <c r="O52" s="9"/>
      <c r="P52" s="4" t="str">
        <f>IF(Table13[[#This Row],[Zeit LKC]]&gt;0,_xlfn.RANK.EQ(Table13[[#This Row],[Punkte LKC]],Table13[Punkte LKC],0)," ")</f>
        <v xml:space="preserve"> </v>
      </c>
      <c r="Q52" s="16">
        <f>IF(Table13[[#This Row],[Zeit LKC]]&gt;0,MIN(Table13[Zeit LKC])/Table13[[#This Row],[Zeit LKC]]*1000,0)</f>
        <v>0</v>
      </c>
      <c r="R52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52" s="16">
        <f>(Table13[[#This Row],[Punkte LKC]]+Table13[[#This Row],[Bonus LKC]])</f>
        <v>0</v>
      </c>
      <c r="T52" s="18" t="str">
        <f>IF(Table13[[#This Row],[Zeit LKC]]&gt;0,_xlfn.RANK.EQ(Table13[[#This Row],[Gesamt LKC]],Table13[Gesamt LKC],0)," ")</f>
        <v xml:space="preserve"> </v>
      </c>
      <c r="U52" s="23">
        <f>MAX( S52,M52)</f>
        <v>729.66341585396356</v>
      </c>
      <c r="V52" s="9"/>
      <c r="W52" s="12" t="str">
        <f>IF(Table13[[#This Row],[Zeit S&amp;R]]&gt;0,_xlfn.RANK.EQ(Table13[[#This Row],[Punkte S&amp;R]],Table13[Punkte S&amp;R],0)," ")</f>
        <v xml:space="preserve"> </v>
      </c>
      <c r="X52" s="7">
        <f>IF(Table13[[#This Row],[Zeit S&amp;R]]&gt;0,MIN(Table13[Zeit S&amp;R])/Table13[[#This Row],[Zeit S&amp;R]]*1000,0)</f>
        <v>0</v>
      </c>
      <c r="Y52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52" s="7">
        <f>(Table13[[#This Row],[Punkte S&amp;R]]+Table13[[#This Row],[Bonus S&amp;R]])</f>
        <v>0</v>
      </c>
      <c r="AA52" s="15" t="str">
        <f>IF(Table13[[#This Row],[Zeit S&amp;R]]&gt;0,_xlfn.RANK.EQ(Table13[[#This Row],[Gesamt S&amp;R]],Table13[Gesamt S&amp;R],0)," ")</f>
        <v xml:space="preserve"> </v>
      </c>
      <c r="AB52" s="7"/>
      <c r="AC52" s="15" t="str">
        <f>IF(Table13[[#This Row],[Zeit LC]]&gt;0,_xlfn.RANK.EQ(Table13[[#This Row],[Punkte LC]],Table13[Punkte LC],0)," ")</f>
        <v xml:space="preserve"> </v>
      </c>
      <c r="AD52" s="7">
        <f>IF(Table13[[#This Row],[Zeit LC]]&gt;0,MIN(Table13[Zeit LC])/Table13[[#This Row],[Zeit LC]]*1000,0)</f>
        <v>0</v>
      </c>
      <c r="AE52" s="7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52" s="7">
        <f>(Table13[[#This Row],[Punkte LC]]+Table13[[#This Row],[Bonus LC]])</f>
        <v>0</v>
      </c>
      <c r="AG52" s="15" t="str">
        <f>IF(Table13[[#This Row],[Zeit LC]]&gt;0,_xlfn.RANK.EQ(Table13[[#This Row],[Gesamt LC]],Table13[Gesamt LC],0)," ")</f>
        <v xml:space="preserve"> </v>
      </c>
      <c r="AH52" s="23">
        <f>MAX( Z52,AF52)</f>
        <v>0</v>
      </c>
      <c r="AI52" s="9"/>
      <c r="AJ52" s="12" t="str">
        <f>IF(Table13[[#This Row],[Zeit BZF]]&gt;0,_xlfn.RANK.EQ(Table13[[#This Row],[Punkte BZF]],Table13[Punkte BZF],0)," ")</f>
        <v xml:space="preserve"> </v>
      </c>
      <c r="AK52" s="10">
        <f>IF(Table13[[#This Row],[Zeit BZF]]&gt;0,MIN(Table13[Zeit BZF])/Table13[[#This Row],[Zeit BZF]]*1000,0)</f>
        <v>0</v>
      </c>
      <c r="AL52" s="8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52" s="7">
        <f>(Table13[[#This Row],[Punkte BZF]]+Table13[[#This Row],[Bonus BZF]])</f>
        <v>0</v>
      </c>
      <c r="AN52" s="15" t="str">
        <f>IF(Table13[[#This Row],[Zeit BZF]]&gt;0,_xlfn.RANK.EQ(Table13[[#This Row],[Gesamt BZF]],Table13[Gesamt BZF],0)," ")</f>
        <v xml:space="preserve"> </v>
      </c>
      <c r="AO52" s="9"/>
      <c r="AP52" s="12" t="str">
        <f>IF(Table13[[#This Row],[Zeit EZF]]&gt;0,_xlfn.RANK.EQ(Table13[[#This Row],[Punkte EZF]],Table13[Punkte EZF],0)," ")</f>
        <v xml:space="preserve"> </v>
      </c>
      <c r="AQ52" s="10">
        <f>IF(Table13[[#This Row],[Zeit EZF]]&gt;0,MIN(Table13[Zeit EZF])/Table13[[#This Row],[Zeit EZF]]*1000,0)</f>
        <v>0</v>
      </c>
      <c r="AR52" s="8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52" s="7">
        <f>(Table13[[#This Row],[Punkte EZF]]+Table13[[#This Row],[Bonus EZF]])</f>
        <v>0</v>
      </c>
      <c r="AT52" s="15" t="str">
        <f>IF(Table13[[#This Row],[Zeit EZF]]&gt;0,_xlfn.RANK.EQ(Table13[[#This Row],[Gesamt EZF]],Table13[Gesamt EZF],0)," ")</f>
        <v xml:space="preserve"> </v>
      </c>
      <c r="AU52" s="26">
        <f t="shared" ref="AU52" si="15">MAX( AM52,AS52)</f>
        <v>0</v>
      </c>
    </row>
    <row r="53" spans="1:47" x14ac:dyDescent="0.25">
      <c r="A53" s="1" t="s">
        <v>177</v>
      </c>
      <c r="B53" s="1" t="s">
        <v>123</v>
      </c>
      <c r="C53" s="5"/>
      <c r="D53" s="5">
        <v>1996</v>
      </c>
      <c r="E53" s="6">
        <f>IF(Table13[[#This Row],[JG]],2024-Table13[[#This Row],[JG]],0)</f>
        <v>28</v>
      </c>
      <c r="F53" s="4" t="s">
        <v>34</v>
      </c>
      <c r="G53" s="49">
        <f t="shared" si="0"/>
        <v>717.81206171107988</v>
      </c>
      <c r="H53" s="35">
        <f>_xlfn.RANK.EQ(Table13[[#This Row],[Gesamtpunkte]],Table13[Gesamtpunkte],0)</f>
        <v>51</v>
      </c>
      <c r="I53" s="28"/>
      <c r="J53" s="29" t="str">
        <f>IF(Table13[[#This Row],[Zeit LSC]]&gt;0,_xlfn.RANK.EQ(Table13[[#This Row],[Punkte LSC]],Table13[Punkte LSC],0)," ")</f>
        <v xml:space="preserve"> </v>
      </c>
      <c r="K53" s="30">
        <f>IF(Table13[[#This Row],[Zeit LSC]]&gt;0,MIN(Table13[Zeit LSC])/Table13[[#This Row],[Zeit LSC]]*1000,0)</f>
        <v>0</v>
      </c>
      <c r="L53" s="3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53" s="30">
        <f>(Table13[[#This Row],[Punkte LSC]]+Table13[[#This Row],[Bonus LSC]])</f>
        <v>0</v>
      </c>
      <c r="N53" s="32" t="str">
        <f>IF(Table13[[#This Row],[Zeit LSC]]&gt;0,_xlfn.RANK.EQ(Table13[[#This Row],[Gesamt LSC]],Table13[Gesamt LSC],0)," ")</f>
        <v xml:space="preserve"> </v>
      </c>
      <c r="O53" s="34"/>
      <c r="P53" s="6" t="str">
        <f>IF(Table13[[#This Row],[Zeit LKC]]&gt;0,_xlfn.RANK.EQ(Table13[[#This Row],[Punkte LKC]],Table13[Punkte LKC],0)," ")</f>
        <v xml:space="preserve"> </v>
      </c>
      <c r="Q53" s="16">
        <f>IF(Table13[[#This Row],[Zeit LKC]]&gt;0,MIN(Table13[Zeit LKC])/Table13[[#This Row],[Zeit LKC]]*1000,0)</f>
        <v>0</v>
      </c>
      <c r="R53" s="33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53" s="19">
        <f>(Table13[[#This Row],[Punkte LKC]]+Table13[[#This Row],[Bonus LKC]])</f>
        <v>0</v>
      </c>
      <c r="T53" s="19" t="str">
        <f>IF(Table13[[#This Row],[Zeit LKC]]&gt;0,_xlfn.RANK.EQ(Table13[[#This Row],[Gesamt LKC]],Table13[Gesamt LKC],0)," ")</f>
        <v xml:space="preserve"> </v>
      </c>
      <c r="U53" s="23">
        <f>MAX( S53,M53)</f>
        <v>0</v>
      </c>
      <c r="V53" s="14"/>
      <c r="W53" s="12" t="str">
        <f>IF(Table13[[#This Row],[Zeit S&amp;R]]&gt;0,_xlfn.RANK.EQ(Table13[[#This Row],[Punkte S&amp;R]],Table13[Punkte S&amp;R],0)," ")</f>
        <v xml:space="preserve"> </v>
      </c>
      <c r="X53" s="10">
        <f>IF(Table13[[#This Row],[Zeit S&amp;R]]&gt;0,MIN(Table13[Zeit S&amp;R])/Table13[[#This Row],[Zeit S&amp;R]]*1000,0)</f>
        <v>0</v>
      </c>
      <c r="Y53" s="11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53" s="10">
        <f>(Table13[[#This Row],[Punkte S&amp;R]]+Table13[[#This Row],[Bonus S&amp;R]])</f>
        <v>0</v>
      </c>
      <c r="AA53" s="21" t="str">
        <f>IF(Table13[[#This Row],[Zeit S&amp;R]]&gt;0,_xlfn.RANK.EQ(Table13[[#This Row],[Gesamt S&amp;R]],Table13[Gesamt S&amp;R],0)," ")</f>
        <v xml:space="preserve"> </v>
      </c>
      <c r="AB53" s="14">
        <v>8.2523148148148151E-2</v>
      </c>
      <c r="AC53" s="21">
        <f>IF(Table13[[#This Row],[Zeit LC]]&gt;0,_xlfn.RANK.EQ(Table13[[#This Row],[Punkte LC]],Table13[Punkte LC],0)," ")</f>
        <v>8</v>
      </c>
      <c r="AD53" s="10">
        <f>IF(Table13[[#This Row],[Zeit LC]]&gt;0,MIN(Table13[Zeit LC])/Table13[[#This Row],[Zeit LC]]*1000,0)</f>
        <v>717.81206171107988</v>
      </c>
      <c r="AE53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53" s="10">
        <f>(Table13[[#This Row],[Punkte LC]]+Table13[[#This Row],[Bonus LC]])</f>
        <v>717.81206171107988</v>
      </c>
      <c r="AG53" s="21">
        <f>IF(Table13[[#This Row],[Zeit LC]]&gt;0,_xlfn.RANK.EQ(Table13[[#This Row],[Gesamt LC]],Table13[Gesamt LC],0)," ")</f>
        <v>8</v>
      </c>
      <c r="AH53" s="23">
        <f>MAX( Z53,AF53)</f>
        <v>717.81206171107988</v>
      </c>
      <c r="AI53" s="14"/>
      <c r="AJ53" s="12" t="str">
        <f>IF(Table13[[#This Row],[Zeit BZF]]&gt;0,_xlfn.RANK.EQ(Table13[[#This Row],[Punkte BZF]],Table13[Punkte BZF],0)," ")</f>
        <v xml:space="preserve"> </v>
      </c>
      <c r="AK53" s="10">
        <f>IF(Table13[[#This Row],[Zeit BZF]]&gt;0,MIN(Table13[Zeit BZF])/Table13[[#This Row],[Zeit BZF]]*1000,0)</f>
        <v>0</v>
      </c>
      <c r="AL53" s="11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53" s="10">
        <f>(Table13[[#This Row],[Punkte BZF]]+Table13[[#This Row],[Bonus BZF]])</f>
        <v>0</v>
      </c>
      <c r="AN53" s="21" t="str">
        <f>IF(Table13[[#This Row],[Zeit BZF]]&gt;0,_xlfn.RANK.EQ(Table13[[#This Row],[Gesamt BZF]],Table13[Gesamt BZF],0)," ")</f>
        <v xml:space="preserve"> </v>
      </c>
      <c r="AO53" s="14"/>
      <c r="AP53" s="12" t="str">
        <f>IF(Table13[[#This Row],[Zeit EZF]]&gt;0,_xlfn.RANK.EQ(Table13[[#This Row],[Punkte EZF]],Table13[Punkte EZF],0)," ")</f>
        <v xml:space="preserve"> </v>
      </c>
      <c r="AQ53" s="10">
        <f>IF(Table13[[#This Row],[Zeit EZF]]&gt;0,MIN(Table13[Zeit EZF])/Table13[[#This Row],[Zeit EZF]]*1000,0)</f>
        <v>0</v>
      </c>
      <c r="AR53" s="11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53" s="10">
        <f>(Table13[[#This Row],[Punkte EZF]]+Table13[[#This Row],[Bonus EZF]])</f>
        <v>0</v>
      </c>
      <c r="AT53" s="21" t="str">
        <f>IF(Table13[[#This Row],[Zeit EZF]]&gt;0,_xlfn.RANK.EQ(Table13[[#This Row],[Gesamt EZF]],Table13[Gesamt EZF],0)," ")</f>
        <v xml:space="preserve"> </v>
      </c>
      <c r="AU53" s="26">
        <f t="shared" si="1"/>
        <v>0</v>
      </c>
    </row>
    <row r="54" spans="1:47" x14ac:dyDescent="0.25">
      <c r="A54" s="1" t="s">
        <v>104</v>
      </c>
      <c r="B54" s="1" t="s">
        <v>103</v>
      </c>
      <c r="C54" s="5"/>
      <c r="D54" s="5">
        <v>1986</v>
      </c>
      <c r="E54" s="6">
        <f>IF(Table13[[#This Row],[JG]],2024-Table13[[#This Row],[JG]],0)</f>
        <v>38</v>
      </c>
      <c r="F54" s="4" t="s">
        <v>34</v>
      </c>
      <c r="G54" s="49">
        <f t="shared" si="0"/>
        <v>711.40065146579798</v>
      </c>
      <c r="H54" s="35">
        <f>_xlfn.RANK.EQ(Table13[[#This Row],[Gesamtpunkte]],Table13[Gesamtpunkte],0)</f>
        <v>52</v>
      </c>
      <c r="I54" s="14"/>
      <c r="J54" s="13" t="str">
        <f>IF(Table13[[#This Row],[Zeit LSC]]&gt;0,_xlfn.RANK.EQ(Table13[[#This Row],[Punkte LSC]],Table13[Punkte LSC],0)," ")</f>
        <v xml:space="preserve"> </v>
      </c>
      <c r="K54" s="10">
        <f>IF(Table13[[#This Row],[Zeit LSC]]&gt;0,MIN(Table13[Zeit LSC])/Table13[[#This Row],[Zeit LSC]]*1000,0)</f>
        <v>0</v>
      </c>
      <c r="L54" s="1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54" s="10">
        <f>(Table13[[#This Row],[Punkte LSC]]+Table13[[#This Row],[Bonus LSC]])</f>
        <v>0</v>
      </c>
      <c r="N54" s="15" t="str">
        <f>IF(Table13[[#This Row],[Zeit LSC]]&gt;0,_xlfn.RANK.EQ(Table13[[#This Row],[Gesamt LSC]],Table13[Gesamt LSC],0)," ")</f>
        <v xml:space="preserve"> </v>
      </c>
      <c r="O54" s="9"/>
      <c r="P54" s="5" t="str">
        <f>IF(Table13[[#This Row],[Zeit LKC]]&gt;0,_xlfn.RANK.EQ(Table13[[#This Row],[Punkte LKC]],Table13[Punkte LKC],0)," ")</f>
        <v xml:space="preserve"> </v>
      </c>
      <c r="Q54" s="16">
        <f>IF(Table13[[#This Row],[Zeit LKC]]&gt;0,MIN(Table13[Zeit LKC])/Table13[[#This Row],[Zeit LKC]]*1000,0)</f>
        <v>0</v>
      </c>
      <c r="R54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54" s="16">
        <f>(Table13[[#This Row],[Punkte LKC]]+Table13[[#This Row],[Bonus LKC]])</f>
        <v>0</v>
      </c>
      <c r="T54" s="18" t="str">
        <f>IF(Table13[[#This Row],[Zeit LKC]]&gt;0,_xlfn.RANK.EQ(Table13[[#This Row],[Gesamt LKC]],Table13[Gesamt LKC],0)," ")</f>
        <v xml:space="preserve"> </v>
      </c>
      <c r="U54" s="23">
        <f>MAX( S54,M54)</f>
        <v>0</v>
      </c>
      <c r="V54" s="14"/>
      <c r="W54" s="12" t="str">
        <f>IF(Table13[[#This Row],[Zeit S&amp;R]]&gt;0,_xlfn.RANK.EQ(Table13[[#This Row],[Punkte S&amp;R]],Table13[Punkte S&amp;R],0)," ")</f>
        <v xml:space="preserve"> </v>
      </c>
      <c r="X54" s="10">
        <f>IF(Table13[[#This Row],[Zeit S&amp;R]]&gt;0,MIN(Table13[Zeit S&amp;R])/Table13[[#This Row],[Zeit S&amp;R]]*1000,0)</f>
        <v>0</v>
      </c>
      <c r="Y54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54" s="10">
        <f>(Table13[[#This Row],[Punkte S&amp;R]]+Table13[[#This Row],[Bonus S&amp;R]])</f>
        <v>0</v>
      </c>
      <c r="AA54" s="15" t="str">
        <f>IF(Table13[[#This Row],[Zeit S&amp;R]]&gt;0,_xlfn.RANK.EQ(Table13[[#This Row],[Gesamt S&amp;R]],Table13[Gesamt S&amp;R],0)," ")</f>
        <v xml:space="preserve"> </v>
      </c>
      <c r="AB54" s="14"/>
      <c r="AC54" s="15" t="str">
        <f>IF(Table13[[#This Row],[Zeit LC]]&gt;0,_xlfn.RANK.EQ(Table13[[#This Row],[Punkte LC]],Table13[Punkte LC],0)," ")</f>
        <v xml:space="preserve"> </v>
      </c>
      <c r="AD54" s="10">
        <f>IF(Table13[[#This Row],[Zeit LC]]&gt;0,MIN(Table13[Zeit LC])/Table13[[#This Row],[Zeit LC]]*1000,0)</f>
        <v>0</v>
      </c>
      <c r="AE54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54" s="10">
        <f>(Table13[[#This Row],[Punkte LC]]+Table13[[#This Row],[Bonus LC]])</f>
        <v>0</v>
      </c>
      <c r="AG54" s="15" t="str">
        <f>IF(Table13[[#This Row],[Zeit LC]]&gt;0,_xlfn.RANK.EQ(Table13[[#This Row],[Gesamt LC]],Table13[Gesamt LC],0)," ")</f>
        <v xml:space="preserve"> </v>
      </c>
      <c r="AH54" s="23">
        <f>MAX( Z54,AF54)</f>
        <v>0</v>
      </c>
      <c r="AI54" s="14">
        <v>1.7766203703703704E-2</v>
      </c>
      <c r="AJ54" s="12">
        <f>IF(Table13[[#This Row],[Zeit BZF]]&gt;0,_xlfn.RANK.EQ(Table13[[#This Row],[Punkte BZF]],Table13[Punkte BZF],0)," ")</f>
        <v>18</v>
      </c>
      <c r="AK54" s="10">
        <f>IF(Table13[[#This Row],[Zeit BZF]]&gt;0,MIN(Table13[Zeit BZF])/Table13[[#This Row],[Zeit BZF]]*1000,0)</f>
        <v>711.40065146579798</v>
      </c>
      <c r="AL54" s="8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54" s="10">
        <f>(Table13[[#This Row],[Punkte BZF]]+Table13[[#This Row],[Bonus BZF]])</f>
        <v>711.40065146579798</v>
      </c>
      <c r="AN54" s="15">
        <f>IF(Table13[[#This Row],[Zeit BZF]]&gt;0,_xlfn.RANK.EQ(Table13[[#This Row],[Gesamt BZF]],Table13[Gesamt BZF],0)," ")</f>
        <v>18</v>
      </c>
      <c r="AO54" s="14"/>
      <c r="AP54" s="12" t="str">
        <f>IF(Table13[[#This Row],[Zeit EZF]]&gt;0,_xlfn.RANK.EQ(Table13[[#This Row],[Punkte EZF]],Table13[Punkte EZF],0)," ")</f>
        <v xml:space="preserve"> </v>
      </c>
      <c r="AQ54" s="10">
        <f>IF(Table13[[#This Row],[Zeit EZF]]&gt;0,MIN(Table13[Zeit EZF])/Table13[[#This Row],[Zeit EZF]]*1000,0)</f>
        <v>0</v>
      </c>
      <c r="AR54" s="8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54" s="10">
        <f>(Table13[[#This Row],[Punkte EZF]]+Table13[[#This Row],[Bonus EZF]])</f>
        <v>0</v>
      </c>
      <c r="AT54" s="15" t="str">
        <f>IF(Table13[[#This Row],[Zeit EZF]]&gt;0,_xlfn.RANK.EQ(Table13[[#This Row],[Gesamt EZF]],Table13[Gesamt EZF],0)," ")</f>
        <v xml:space="preserve"> </v>
      </c>
      <c r="AU54" s="26">
        <f t="shared" si="1"/>
        <v>711.40065146579798</v>
      </c>
    </row>
    <row r="55" spans="1:47" x14ac:dyDescent="0.25">
      <c r="A55" s="1" t="s">
        <v>71</v>
      </c>
      <c r="B55" s="1" t="s">
        <v>144</v>
      </c>
      <c r="C55" s="5"/>
      <c r="D55" s="5">
        <v>1992</v>
      </c>
      <c r="E55" s="6">
        <f>IF(Table13[[#This Row],[JG]],2024-Table13[[#This Row],[JG]],0)</f>
        <v>32</v>
      </c>
      <c r="F55" s="5"/>
      <c r="G55" s="49">
        <f t="shared" si="0"/>
        <v>591.40271493212674</v>
      </c>
      <c r="H55" s="35">
        <f>_xlfn.RANK.EQ(Table13[[#This Row],[Gesamtpunkte]],Table13[Gesamtpunkte],0)</f>
        <v>53</v>
      </c>
      <c r="I55" s="14">
        <v>5.1157407407407408E-2</v>
      </c>
      <c r="J55" s="20">
        <f>IF(Table13[[#This Row],[Zeit LSC]]&gt;0,_xlfn.RANK.EQ(Table13[[#This Row],[Punkte LSC]],Table13[Punkte LSC],0)," ")</f>
        <v>13</v>
      </c>
      <c r="K55" s="10">
        <f>IF(Table13[[#This Row],[Zeit LSC]]&gt;0,MIN(Table13[Zeit LSC])/Table13[[#This Row],[Zeit LSC]]*1000,0)</f>
        <v>591.40271493212674</v>
      </c>
      <c r="L55" s="1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55" s="10">
        <f>(Table13[[#This Row],[Punkte LSC]]+Table13[[#This Row],[Bonus LSC]])</f>
        <v>591.40271493212674</v>
      </c>
      <c r="N55" s="21">
        <f>IF(Table13[[#This Row],[Zeit LSC]]&gt;0,_xlfn.RANK.EQ(Table13[[#This Row],[Gesamt LSC]],Table13[Gesamt LSC],0)," ")</f>
        <v>14</v>
      </c>
      <c r="O55" s="14"/>
      <c r="P55" s="6" t="str">
        <f>IF(Table13[[#This Row],[Zeit LKC]]&gt;0,_xlfn.RANK.EQ(Table13[[#This Row],[Punkte LKC]],Table13[Punkte LKC],0)," ")</f>
        <v xml:space="preserve"> </v>
      </c>
      <c r="Q55" s="16">
        <f>IF(Table13[[#This Row],[Zeit LKC]]&gt;0,MIN(Table13[Zeit LKC])/Table13[[#This Row],[Zeit LKC]]*1000,0)</f>
        <v>0</v>
      </c>
      <c r="R55" s="19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55" s="19">
        <f>(Table13[[#This Row],[Punkte LKC]]+Table13[[#This Row],[Bonus LKC]])</f>
        <v>0</v>
      </c>
      <c r="T55" s="25" t="str">
        <f>IF(Table13[[#This Row],[Zeit LKC]]&gt;0,_xlfn.RANK.EQ(Table13[[#This Row],[Gesamt LKC]],Table13[Gesamt LKC],0)," ")</f>
        <v xml:space="preserve"> </v>
      </c>
      <c r="U55" s="23">
        <f>MAX( S55,M55)</f>
        <v>591.40271493212674</v>
      </c>
      <c r="V55" s="14"/>
      <c r="W55" s="12" t="str">
        <f>IF(Table13[[#This Row],[Zeit S&amp;R]]&gt;0,_xlfn.RANK.EQ(Table13[[#This Row],[Punkte S&amp;R]],Table13[Punkte S&amp;R],0)," ")</f>
        <v xml:space="preserve"> </v>
      </c>
      <c r="X55" s="10">
        <f>IF(Table13[[#This Row],[Zeit S&amp;R]]&gt;0,MIN(Table13[Zeit S&amp;R])/Table13[[#This Row],[Zeit S&amp;R]]*1000,0)</f>
        <v>0</v>
      </c>
      <c r="Y55" s="11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55" s="10">
        <f>(Table13[[#This Row],[Punkte S&amp;R]]+Table13[[#This Row],[Bonus S&amp;R]])</f>
        <v>0</v>
      </c>
      <c r="AA55" s="21" t="str">
        <f>IF(Table13[[#This Row],[Zeit S&amp;R]]&gt;0,_xlfn.RANK.EQ(Table13[[#This Row],[Gesamt S&amp;R]],Table13[Gesamt S&amp;R],0)," ")</f>
        <v xml:space="preserve"> </v>
      </c>
      <c r="AB55" s="14"/>
      <c r="AC55" s="21" t="str">
        <f>IF(Table13[[#This Row],[Zeit LC]]&gt;0,_xlfn.RANK.EQ(Table13[[#This Row],[Punkte LC]],Table13[Punkte LC],0)," ")</f>
        <v xml:space="preserve"> </v>
      </c>
      <c r="AD55" s="10">
        <f>IF(Table13[[#This Row],[Zeit LC]]&gt;0,MIN(Table13[Zeit LC])/Table13[[#This Row],[Zeit LC]]*1000,0)</f>
        <v>0</v>
      </c>
      <c r="AE55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55" s="10">
        <f>(Table13[[#This Row],[Punkte LC]]+Table13[[#This Row],[Bonus LC]])</f>
        <v>0</v>
      </c>
      <c r="AG55" s="21" t="str">
        <f>IF(Table13[[#This Row],[Zeit LC]]&gt;0,_xlfn.RANK.EQ(Table13[[#This Row],[Gesamt LC]],Table13[Gesamt LC],0)," ")</f>
        <v xml:space="preserve"> </v>
      </c>
      <c r="AH55" s="23">
        <f>MAX( Z55,AF55)</f>
        <v>0</v>
      </c>
      <c r="AI55" s="14"/>
      <c r="AJ55" s="12" t="str">
        <f>IF(Table13[[#This Row],[Zeit BZF]]&gt;0,_xlfn.RANK.EQ(Table13[[#This Row],[Punkte BZF]],Table13[Punkte BZF],0)," ")</f>
        <v xml:space="preserve"> </v>
      </c>
      <c r="AK55" s="10">
        <f>IF(Table13[[#This Row],[Zeit BZF]]&gt;0,MIN(Table13[Zeit BZF])/Table13[[#This Row],[Zeit BZF]]*1000,0)</f>
        <v>0</v>
      </c>
      <c r="AL55" s="11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55" s="10">
        <f>(Table13[[#This Row],[Punkte BZF]]+Table13[[#This Row],[Bonus BZF]])</f>
        <v>0</v>
      </c>
      <c r="AN55" s="21" t="str">
        <f>IF(Table13[[#This Row],[Zeit BZF]]&gt;0,_xlfn.RANK.EQ(Table13[[#This Row],[Gesamt BZF]],Table13[Gesamt BZF],0)," ")</f>
        <v xml:space="preserve"> </v>
      </c>
      <c r="AO55" s="14"/>
      <c r="AP55" s="12" t="str">
        <f>IF(Table13[[#This Row],[Zeit EZF]]&gt;0,_xlfn.RANK.EQ(Table13[[#This Row],[Punkte EZF]],Table13[Punkte EZF],0)," ")</f>
        <v xml:space="preserve"> </v>
      </c>
      <c r="AQ55" s="10">
        <f>IF(Table13[[#This Row],[Zeit EZF]]&gt;0,MIN(Table13[Zeit EZF])/Table13[[#This Row],[Zeit EZF]]*1000,0)</f>
        <v>0</v>
      </c>
      <c r="AR55" s="11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55" s="10">
        <f>(Table13[[#This Row],[Punkte EZF]]+Table13[[#This Row],[Bonus EZF]])</f>
        <v>0</v>
      </c>
      <c r="AT55" s="21" t="str">
        <f>IF(Table13[[#This Row],[Zeit EZF]]&gt;0,_xlfn.RANK.EQ(Table13[[#This Row],[Gesamt EZF]],Table13[Gesamt EZF],0)," ")</f>
        <v xml:space="preserve"> </v>
      </c>
      <c r="AU55" s="26">
        <f t="shared" si="1"/>
        <v>0</v>
      </c>
    </row>
    <row r="56" spans="1:47" x14ac:dyDescent="0.25">
      <c r="A56" s="1" t="s">
        <v>91</v>
      </c>
      <c r="B56" s="1" t="s">
        <v>92</v>
      </c>
      <c r="C56" s="5"/>
      <c r="D56" s="5">
        <v>1988</v>
      </c>
      <c r="E56" s="6">
        <f>IF(Table13[[#This Row],[JG]],2024-Table13[[#This Row],[JG]],0)</f>
        <v>36</v>
      </c>
      <c r="F56" s="4" t="s">
        <v>34</v>
      </c>
      <c r="G56" s="49">
        <f t="shared" si="0"/>
        <v>564.33506044905016</v>
      </c>
      <c r="H56" s="35">
        <f>_xlfn.RANK.EQ(Table13[[#This Row],[Gesamtpunkte]],Table13[Gesamtpunkte],0)</f>
        <v>54</v>
      </c>
      <c r="I56" s="14">
        <v>5.3611111111111109E-2</v>
      </c>
      <c r="J56" s="13">
        <f>IF(Table13[[#This Row],[Zeit LSC]]&gt;0,_xlfn.RANK.EQ(Table13[[#This Row],[Punkte LSC]],Table13[Punkte LSC],0)," ")</f>
        <v>15</v>
      </c>
      <c r="K56" s="10">
        <f>IF(Table13[[#This Row],[Zeit LSC]]&gt;0,MIN(Table13[Zeit LSC])/Table13[[#This Row],[Zeit LSC]]*1000,0)</f>
        <v>564.33506044905016</v>
      </c>
      <c r="L56" s="11">
        <f>IF(Table13[[#This Row],[Zeit LSC]]&gt;0,SUM(IF(Table13[[#This Row],[Alter]]&gt;40,(Table13[[#This Row],[Alter]]-40)*4,0),IF(AND(Table13[[#This Row],[Alter]]&lt;20,Table13[[#This Row],[Alter]]&gt;0),(20-Table13[[#This Row],[Alter]])*10,0)),0)</f>
        <v>0</v>
      </c>
      <c r="M56" s="10">
        <f>(Table13[[#This Row],[Punkte LSC]]+Table13[[#This Row],[Bonus LSC]])</f>
        <v>564.33506044905016</v>
      </c>
      <c r="N56" s="15">
        <f>IF(Table13[[#This Row],[Zeit LSC]]&gt;0,_xlfn.RANK.EQ(Table13[[#This Row],[Gesamt LSC]],Table13[Gesamt LSC],0)," ")</f>
        <v>15</v>
      </c>
      <c r="O56" s="9">
        <v>2.2997685185185187E-2</v>
      </c>
      <c r="P56" s="5">
        <f>IF(Table13[[#This Row],[Zeit LKC]]&gt;0,_xlfn.RANK.EQ(Table13[[#This Row],[Punkte LKC]],Table13[Punkte LKC],0)," ")</f>
        <v>6</v>
      </c>
      <c r="Q56" s="16">
        <f>IF(Table13[[#This Row],[Zeit LKC]]&gt;0,MIN(Table13[Zeit LKC])/Table13[[#This Row],[Zeit LKC]]*1000,0)</f>
        <v>537.99698037242069</v>
      </c>
      <c r="R56" s="17">
        <f>IF(Table13[[#This Row],[Zeit LKC]]&gt;0,SUM(IF(Table13[[#This Row],[Alter]]&gt;40,(Table13[[#This Row],[Alter]]-40)*4,0),IF(AND(Table13[[#This Row],[Alter]]&lt;20,Table13[[#This Row],[Alter]]&gt;0),(20-Table13[[#This Row],[Alter]])*10,0)),0)</f>
        <v>0</v>
      </c>
      <c r="S56" s="16">
        <f>(Table13[[#This Row],[Punkte LKC]]+Table13[[#This Row],[Bonus LKC]])</f>
        <v>537.99698037242069</v>
      </c>
      <c r="T56" s="18">
        <f>IF(Table13[[#This Row],[Zeit LKC]]&gt;0,_xlfn.RANK.EQ(Table13[[#This Row],[Gesamt LKC]],Table13[Gesamt LKC],0)," ")</f>
        <v>7</v>
      </c>
      <c r="U56" s="23">
        <f>MAX( S56,M56)</f>
        <v>564.33506044905016</v>
      </c>
      <c r="V56" s="14"/>
      <c r="W56" s="12" t="str">
        <f>IF(Table13[[#This Row],[Zeit S&amp;R]]&gt;0,_xlfn.RANK.EQ(Table13[[#This Row],[Punkte S&amp;R]],Table13[Punkte S&amp;R],0)," ")</f>
        <v xml:space="preserve"> </v>
      </c>
      <c r="X56" s="10">
        <f>IF(Table13[[#This Row],[Zeit S&amp;R]]&gt;0,MIN(Table13[Zeit S&amp;R])/Table13[[#This Row],[Zeit S&amp;R]]*1000,0)</f>
        <v>0</v>
      </c>
      <c r="Y56" s="8">
        <f>IF(Table13[[#This Row],[Zeit S&amp;R]]&gt;0,SUM(IF(Table13[[#This Row],[Alter]]&gt;40,(Table13[[#This Row],[Alter]]-40)*4,0),IF(AND(Table13[[#This Row],[Alter]]&lt;20,Table13[[#This Row],[Alter]]&gt;0),(20-Table13[[#This Row],[Alter]])*10,0)),0)</f>
        <v>0</v>
      </c>
      <c r="Z56" s="10">
        <f>(Table13[[#This Row],[Punkte S&amp;R]]+Table13[[#This Row],[Bonus S&amp;R]])</f>
        <v>0</v>
      </c>
      <c r="AA56" s="15" t="str">
        <f>IF(Table13[[#This Row],[Zeit S&amp;R]]&gt;0,_xlfn.RANK.EQ(Table13[[#This Row],[Gesamt S&amp;R]],Table13[Gesamt S&amp;R],0)," ")</f>
        <v xml:space="preserve"> </v>
      </c>
      <c r="AB56" s="14"/>
      <c r="AC56" s="15" t="str">
        <f>IF(Table13[[#This Row],[Zeit LC]]&gt;0,_xlfn.RANK.EQ(Table13[[#This Row],[Punkte LC]],Table13[Punkte LC],0)," ")</f>
        <v xml:space="preserve"> </v>
      </c>
      <c r="AD56" s="10">
        <f>IF(Table13[[#This Row],[Zeit LC]]&gt;0,MIN(Table13[Zeit LC])/Table13[[#This Row],[Zeit LC]]*1000,0)</f>
        <v>0</v>
      </c>
      <c r="AE56" s="10">
        <f>IF(Table13[[#This Row],[Zeit LC]]&gt;0,SUM(IF(Table13[[#This Row],[Alter]]&gt;40,(Table13[[#This Row],[Alter]]-40)*4,0),IF(AND(Table13[[#This Row],[Alter]]&lt;20,Table13[[#This Row],[Alter]]&gt;0),(20-Table13[[#This Row],[Alter]])*10,0)),0)</f>
        <v>0</v>
      </c>
      <c r="AF56" s="10">
        <f>(Table13[[#This Row],[Punkte LC]]+Table13[[#This Row],[Bonus LC]])</f>
        <v>0</v>
      </c>
      <c r="AG56" s="15" t="str">
        <f>IF(Table13[[#This Row],[Zeit LC]]&gt;0,_xlfn.RANK.EQ(Table13[[#This Row],[Gesamt LC]],Table13[Gesamt LC],0)," ")</f>
        <v xml:space="preserve"> </v>
      </c>
      <c r="AH56" s="23">
        <f>MAX( Z56,AF56)</f>
        <v>0</v>
      </c>
      <c r="AI56" s="14"/>
      <c r="AJ56" s="12" t="str">
        <f>IF(Table13[[#This Row],[Zeit BZF]]&gt;0,_xlfn.RANK.EQ(Table13[[#This Row],[Punkte BZF]],Table13[Punkte BZF],0)," ")</f>
        <v xml:space="preserve"> </v>
      </c>
      <c r="AK56" s="10">
        <f>IF(Table13[[#This Row],[Zeit BZF]]&gt;0,MIN(Table13[Zeit BZF])/Table13[[#This Row],[Zeit BZF]]*1000,0)</f>
        <v>0</v>
      </c>
      <c r="AL56" s="8">
        <f>IF(Table13[[#This Row],[Zeit BZF]]&gt;0,SUM(IF(Table13[[#This Row],[Alter]]&gt;40,(Table13[[#This Row],[Alter]]-40)*4,0),IF(AND(Table13[[#This Row],[Alter]]&lt;20,Table13[[#This Row],[Alter]]&gt;0),(20-Table13[[#This Row],[Alter]])*10,0)),0)</f>
        <v>0</v>
      </c>
      <c r="AM56" s="10">
        <f>(Table13[[#This Row],[Punkte BZF]]+Table13[[#This Row],[Bonus BZF]])</f>
        <v>0</v>
      </c>
      <c r="AN56" s="15" t="str">
        <f>IF(Table13[[#This Row],[Zeit BZF]]&gt;0,_xlfn.RANK.EQ(Table13[[#This Row],[Gesamt BZF]],Table13[Gesamt BZF],0)," ")</f>
        <v xml:space="preserve"> </v>
      </c>
      <c r="AO56" s="14"/>
      <c r="AP56" s="12" t="str">
        <f>IF(Table13[[#This Row],[Zeit EZF]]&gt;0,_xlfn.RANK.EQ(Table13[[#This Row],[Punkte EZF]],Table13[Punkte EZF],0)," ")</f>
        <v xml:space="preserve"> </v>
      </c>
      <c r="AQ56" s="10">
        <f>IF(Table13[[#This Row],[Zeit EZF]]&gt;0,MIN(Table13[Zeit EZF])/Table13[[#This Row],[Zeit EZF]]*1000,0)</f>
        <v>0</v>
      </c>
      <c r="AR56" s="8">
        <f>IF(Table13[[#This Row],[Zeit EZF]]&gt;0,SUM(IF(Table13[[#This Row],[Alter]]&gt;40,(Table13[[#This Row],[Alter]]-40)*4,0),IF(AND(Table13[[#This Row],[Alter]]&lt;20,Table13[[#This Row],[Alter]]&gt;0),(20-Table13[[#This Row],[Alter]])*10,0)),0)</f>
        <v>0</v>
      </c>
      <c r="AS56" s="10">
        <f>(Table13[[#This Row],[Punkte EZF]]+Table13[[#This Row],[Bonus EZF]])</f>
        <v>0</v>
      </c>
      <c r="AT56" s="15" t="str">
        <f>IF(Table13[[#This Row],[Zeit EZF]]&gt;0,_xlfn.RANK.EQ(Table13[[#This Row],[Gesamt EZF]],Table13[Gesamt EZF],0)," ")</f>
        <v xml:space="preserve"> </v>
      </c>
      <c r="AU56" s="26">
        <f t="shared" ref="AU56" si="16">MAX( AM56,AS56)</f>
        <v>0</v>
      </c>
    </row>
  </sheetData>
  <mergeCells count="7">
    <mergeCell ref="AO1:AT1"/>
    <mergeCell ref="G1:H1"/>
    <mergeCell ref="I1:N1"/>
    <mergeCell ref="O1:T1"/>
    <mergeCell ref="V1:AA1"/>
    <mergeCell ref="AB1:AG1"/>
    <mergeCell ref="AI1:AN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820F3033455448A19E237BA15264A3" ma:contentTypeVersion="8" ma:contentTypeDescription="Create a new document." ma:contentTypeScope="" ma:versionID="fcb4454ce18746076aff0d8e1dace663">
  <xsd:schema xmlns:xsd="http://www.w3.org/2001/XMLSchema" xmlns:xs="http://www.w3.org/2001/XMLSchema" xmlns:p="http://schemas.microsoft.com/office/2006/metadata/properties" xmlns:ns3="377f1e07-9c56-47c0-8830-951c6e87014a" targetNamespace="http://schemas.microsoft.com/office/2006/metadata/properties" ma:root="true" ma:fieldsID="911a0d5da9368a3d1e5fa414a537026f" ns3:_="">
    <xsd:import namespace="377f1e07-9c56-47c0-8830-951c6e87014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f1e07-9c56-47c0-8830-951c6e8701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A5BED4-C616-48C5-A45A-3058E35CB1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7f1e07-9c56-47c0-8830-951c6e8701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7C822A-7F85-4C89-AE1B-64CDCA9D21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8B696E-7DA8-4E03-AE96-5E7C974B4D6E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377f1e07-9c56-47c0-8830-951c6e87014a"/>
  </ds:schemaRefs>
</ds:datastoreItem>
</file>

<file path=docMetadata/LabelInfo.xml><?xml version="1.0" encoding="utf-8"?>
<clbl:labelList xmlns:clbl="http://schemas.microsoft.com/office/2020/mipLabelMetadata">
  <clbl:label id="{42f7676c-f455-423c-82f6-dc2d99791af7}" enabled="0" method="" siteId="{42f7676c-f455-423c-82f6-dc2d99791af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Frauen</vt:lpstr>
      <vt:lpstr>Männer</vt:lpstr>
      <vt:lpstr>Sheet3</vt:lpstr>
    </vt:vector>
  </TitlesOfParts>
  <Company>Karlsruher Lemminge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Auswertung Lemming des Jahres 2024</dc:title>
  <dc:creator>Matthias Rosenkranz</dc:creator>
  <cp:lastModifiedBy>Rosenkranz, Matthias</cp:lastModifiedBy>
  <cp:lastPrinted>2019-11-21T14:13:41Z</cp:lastPrinted>
  <dcterms:created xsi:type="dcterms:W3CDTF">2012-02-13T07:28:10Z</dcterms:created>
  <dcterms:modified xsi:type="dcterms:W3CDTF">2024-08-01T15:20:58Z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0x01010054820F3033455448A19E237BA15264A3</vt:lpwstr>
  </property>
</Properties>
</file>